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Volumes/GoogleDrive/Drive partagés/MAGAZINE + NEWSLETTER/Plans d'entrainement/"/>
    </mc:Choice>
  </mc:AlternateContent>
  <xr:revisionPtr revIDLastSave="0" documentId="13_ncr:1_{61D6F495-12FE-F94D-A795-9300BC6AC1C5}" xr6:coauthVersionLast="47" xr6:coauthVersionMax="47" xr10:uidLastSave="{00000000-0000-0000-0000-000000000000}"/>
  <bookViews>
    <workbookView xWindow="3420" yWindow="1420" windowWidth="29420" windowHeight="18820" tabRatio="697" xr2:uid="{00000000-000D-0000-FFFF-FFFF00000000}"/>
  </bookViews>
  <sheets>
    <sheet name="Accueil" sheetId="8" r:id="rId1"/>
    <sheet name="Etalonnage" sheetId="1" r:id="rId2"/>
    <sheet name="21,1 Km 5 ent." sheetId="11" r:id="rId3"/>
    <sheet name="21,1 Km 4 ent." sheetId="13" r:id="rId4"/>
    <sheet name="21,1 Km 3 ent." sheetId="15" r:id="rId5"/>
    <sheet name="constantes" sheetId="12" r:id="rId6"/>
    <sheet name="VMA" sheetId="9" r:id="rId7"/>
  </sheets>
  <externalReferences>
    <externalReference r:id="rId8"/>
    <externalReference r:id="rId9"/>
  </externalReferences>
  <definedNames>
    <definedName name="_60__Endurance_facile">#REF!</definedName>
    <definedName name="al_marathon">Etalonnage!$E$23</definedName>
    <definedName name="al_semi">constantes!$D$28</definedName>
    <definedName name="all_1000">constantes!$D$14</definedName>
    <definedName name="all_200">constantes!$D$11</definedName>
    <definedName name="all_3000">constantes!$D$16</definedName>
    <definedName name="all_400">constantes!$D$12</definedName>
    <definedName name="all_800">constantes!$D$13</definedName>
    <definedName name="allure_vma">Etalonnage!$B$21</definedName>
    <definedName name="allure_vma_sec">Etalonnage!$B$23</definedName>
    <definedName name="C3.1">#REF!</definedName>
    <definedName name="C3.2">#REF!</definedName>
    <definedName name="cat_km">Etalonnage!$B$11</definedName>
    <definedName name="cat_kmh" localSheetId="4">[1]Etalonnage!$B$14</definedName>
    <definedName name="cat_kmh" localSheetId="3">[1]Etalonnage!$B$14</definedName>
    <definedName name="cat_kmh">Etalonnage!$B$14</definedName>
    <definedName name="cat_object">Etalonnage!$E$12</definedName>
    <definedName name="cat_sec" localSheetId="4">[1]Etalonnage!$B$12</definedName>
    <definedName name="cat_sec" localSheetId="3">[1]Etalonnage!$B$12</definedName>
    <definedName name="cat_sec">Etalonnage!$B$12</definedName>
    <definedName name="cat_test_3" localSheetId="4">[1]Etalonnage!$B$10</definedName>
    <definedName name="cat_test_3" localSheetId="3">[1]Etalonnage!$B$10</definedName>
    <definedName name="cat_test_3">Etalonnage!$B$10</definedName>
    <definedName name="cat_vitesse">Etalonnage!$B$13</definedName>
    <definedName name="cp">Etalonnage!$C$16</definedName>
    <definedName name="cp_1000">constantes!$B$14</definedName>
    <definedName name="cp_200">constantes!$B$11</definedName>
    <definedName name="cp_2000">constantes!$B$15</definedName>
    <definedName name="cp_3000">constantes!$B$16</definedName>
    <definedName name="cp_400">constantes!$B$12</definedName>
    <definedName name="cp_800">constantes!$B$13</definedName>
    <definedName name="cp_endu">constantes!$B$17</definedName>
    <definedName name="cp_max">Etalonnage!$C$17</definedName>
    <definedName name="cp_recup">constantes!$B$18</definedName>
    <definedName name="cp_semi">constantes!$B$19</definedName>
    <definedName name="cp_test">Etalonnage!$C$18</definedName>
    <definedName name="D_test" localSheetId="4">[1]Etalonnage!$B$9</definedName>
    <definedName name="D_test" localSheetId="3">[1]Etalonnage!$B$9</definedName>
    <definedName name="D_test">Etalonnage!$B$9</definedName>
    <definedName name="date_10" localSheetId="4">[1]Etalonnage!#REF!</definedName>
    <definedName name="date_10" localSheetId="3">[1]Etalonnage!#REF!</definedName>
    <definedName name="date_10">Etalonnage!#REF!</definedName>
    <definedName name="dist_marathon" localSheetId="4">[1]constantes!$B$31</definedName>
    <definedName name="dist_marathon" localSheetId="3">[1]constantes!$B$31</definedName>
    <definedName name="dist_marathon">constantes!$B$31</definedName>
    <definedName name="dist_semi" localSheetId="4">[1]constantes!$B$32</definedName>
    <definedName name="dist_semi" localSheetId="3">[1]constantes!$B$32</definedName>
    <definedName name="dist_semi">constantes!$B$32</definedName>
    <definedName name="dist_vma" localSheetId="4">[1]Etalonnage!$B$18</definedName>
    <definedName name="dist_vma" localSheetId="3">[1]Etalonnage!$B$18</definedName>
    <definedName name="dist_vma">Etalonnage!$B$20</definedName>
    <definedName name="dist_vma_min" localSheetId="4">[1]constantes!$B$30</definedName>
    <definedName name="dist_vma_min" localSheetId="3">[1]constantes!$B$30</definedName>
    <definedName name="dist_vma_min">constantes!$B$30</definedName>
    <definedName name="endurance" localSheetId="4">[1]Etalonnage!$E$19</definedName>
    <definedName name="endurance" localSheetId="3">[1]Etalonnage!$E$19</definedName>
    <definedName name="endurance">Etalonnage!$E$21</definedName>
    <definedName name="facile">constantes!$D$29</definedName>
    <definedName name="fc_100">constantes!$D$25</definedName>
    <definedName name="fc_1200">constantes!$B$17</definedName>
    <definedName name="fc_200">constantes!$B$11</definedName>
    <definedName name="fc_300">constantes!$B$12</definedName>
    <definedName name="fc_3000">Etalonnage!$C$10</definedName>
    <definedName name="fc_400">constantes!$B$13</definedName>
    <definedName name="fc_500">constantes!$B$14</definedName>
    <definedName name="fc_700">constantes!$B$15</definedName>
    <definedName name="fc_800">constantes!$B$16</definedName>
    <definedName name="fc_ana">Etalonnage!$C$24</definedName>
    <definedName name="fc_endur" localSheetId="4">[1]Etalonnage!#REF!</definedName>
    <definedName name="fc_endur" localSheetId="3">[1]Etalonnage!#REF!</definedName>
    <definedName name="fc_endur">Etalonnage!#REF!</definedName>
    <definedName name="fc_marathon">Etalonnage!$C$26</definedName>
    <definedName name="fc_max" localSheetId="4">[1]Etalonnage!$C$17</definedName>
    <definedName name="fc_max" localSheetId="3">[1]Etalonnage!$C$17</definedName>
    <definedName name="fc_max">Etalonnage!$C$17</definedName>
    <definedName name="fc_repos" localSheetId="4">[1]Etalonnage!$C$16</definedName>
    <definedName name="fc_repos" localSheetId="3">[1]Etalonnage!$C$16</definedName>
    <definedName name="fc_repos">Etalonnage!$C$16</definedName>
    <definedName name="fc_semi">constantes!$B$18</definedName>
    <definedName name="fc_x" localSheetId="4">[1]constantes!$D$24</definedName>
    <definedName name="fc_x" localSheetId="3">[1]constantes!$D$24</definedName>
    <definedName name="fc_x">constantes!$D$24</definedName>
    <definedName name="ind_vma" localSheetId="4">[1]constantes!$B$29</definedName>
    <definedName name="ind_vma" localSheetId="3">[1]constantes!$B$29</definedName>
    <definedName name="ind_vma">constantes!$B$29</definedName>
    <definedName name="k_10" localSheetId="4">[1]constantes!$B$28</definedName>
    <definedName name="k_10" localSheetId="3">[1]constantes!$B$28</definedName>
    <definedName name="k_10">constantes!$B$28</definedName>
    <definedName name="k_aero">constantes!$B$23</definedName>
    <definedName name="k_anaero" localSheetId="4">[1]constantes!$B$22</definedName>
    <definedName name="k_anaero" localSheetId="3">[1]constantes!$B$22</definedName>
    <definedName name="k_anaero">constantes!$B$22</definedName>
    <definedName name="K_facile" localSheetId="4">[1]constantes!$B$34</definedName>
    <definedName name="K_facile" localSheetId="3">[1]constantes!$B$34</definedName>
    <definedName name="K_facile">constantes!$B$34</definedName>
    <definedName name="k_marat" localSheetId="4">[1]constantes!$B$26</definedName>
    <definedName name="k_marat" localSheetId="3">[1]constantes!$B$26</definedName>
    <definedName name="k_marat">constantes!$B$26</definedName>
    <definedName name="k_recup" localSheetId="4">[1]constantes!$B$25</definedName>
    <definedName name="k_recup" localSheetId="3">[1]constantes!$B$25</definedName>
    <definedName name="k_recup">constantes!$B$25</definedName>
    <definedName name="k_semi" localSheetId="4">[1]constantes!$B$27</definedName>
    <definedName name="k_semi" localSheetId="3">[1]constantes!$B$27</definedName>
    <definedName name="k_semi">constantes!$B$27</definedName>
    <definedName name="k_semi_2" localSheetId="4">[1]constantes!$B$24</definedName>
    <definedName name="k_semi_2" localSheetId="3">[1]constantes!$B$24</definedName>
    <definedName name="k_semi_2">constantes!$B$24</definedName>
    <definedName name="K_test" localSheetId="4">[1]constantes!$B$33</definedName>
    <definedName name="K_test" localSheetId="3">[1]constantes!$B$33</definedName>
    <definedName name="K_test">constantes!$B$33</definedName>
    <definedName name="k_vma" localSheetId="4">[1]constantes!$B$21</definedName>
    <definedName name="k_vma" localSheetId="3">[1]constantes!$B$21</definedName>
    <definedName name="k_vma">constantes!$B$21</definedName>
    <definedName name="marathon">Etalonnage!$E$23</definedName>
    <definedName name="mdate" localSheetId="4">[1]Etalonnage!$E$10</definedName>
    <definedName name="mdate" localSheetId="3">[1]Etalonnage!$E$10</definedName>
    <definedName name="mdate">Etalonnage!$E$10</definedName>
    <definedName name="objectif" localSheetId="4">[1]Etalonnage!$E$9</definedName>
    <definedName name="objectif" localSheetId="3">[1]Etalonnage!$E$9</definedName>
    <definedName name="objectif">Etalonnage!$E$9</definedName>
    <definedName name="R_100">constantes!$F$10</definedName>
    <definedName name="R_1000">constantes!$F$16</definedName>
    <definedName name="R_200">constantes!$F$11</definedName>
    <definedName name="R_300">constantes!$F$12</definedName>
    <definedName name="R_400">constantes!$F$13</definedName>
    <definedName name="R_500">constantes!$F$14</definedName>
    <definedName name="recup">Etalonnage!$B$25</definedName>
    <definedName name="references">constantes!$D$11:$D$19</definedName>
    <definedName name="serie_100" localSheetId="4">'21,1 Km 3 ent.'!$G$7</definedName>
    <definedName name="serie_100" localSheetId="3">'21,1 Km 4 ent.'!$G$7</definedName>
    <definedName name="serie_100" localSheetId="2">'21,1 Km 5 ent.'!$G$7</definedName>
    <definedName name="serie_100">#REF!</definedName>
    <definedName name="seuil" localSheetId="4">[1]constantes!$D$30</definedName>
    <definedName name="seuil" localSheetId="3">[1]constantes!$D$30</definedName>
    <definedName name="seuil">constantes!$D$30</definedName>
    <definedName name="seuil_aero" localSheetId="4">[1]Etalonnage!#REF!</definedName>
    <definedName name="seuil_aero" localSheetId="3">[1]Etalonnage!#REF!</definedName>
    <definedName name="seuil_aero">Etalonnage!#REF!</definedName>
    <definedName name="seuil_ana">Etalonnage!$B$24</definedName>
    <definedName name="seuil_ana_obj">Etalonnage!$E$20</definedName>
    <definedName name="T_100">constantes!$D$10</definedName>
    <definedName name="T_1000">constantes!$D$16</definedName>
    <definedName name="T_10k">constantes!$D$26</definedName>
    <definedName name="T_200">constantes!$D$11</definedName>
    <definedName name="T_2000">constantes!$D$15</definedName>
    <definedName name="T_20k">constantes!$D$19</definedName>
    <definedName name="T_300">constantes!$D$12</definedName>
    <definedName name="T_3000">constantes!$D$16</definedName>
    <definedName name="T_3600">constantes!$D$20</definedName>
    <definedName name="T_400">constantes!$D$13</definedName>
    <definedName name="t_4000">constantes!$D$21</definedName>
    <definedName name="T_500">constantes!$D$14</definedName>
    <definedName name="T_800">constantes!$D$13</definedName>
    <definedName name="T_endu">constantes!$D$17</definedName>
    <definedName name="T_recup">constantes!$D$18</definedName>
    <definedName name="T_semi">constantes!$D$27</definedName>
    <definedName name="t_th_marathon">Etalonnage!$B$27</definedName>
    <definedName name="t_th_semi" localSheetId="4">[1]Etalonnage!#REF!</definedName>
    <definedName name="t_th_semi" localSheetId="3">[1]Etalonnage!#REF!</definedName>
    <definedName name="t_th_semi">Etalonnage!#REF!</definedName>
    <definedName name="t_x">constantes!$D$22</definedName>
    <definedName name="TABLE" localSheetId="6">VMA!$G$26:$I$26</definedName>
    <definedName name="TABLE">#REF!</definedName>
    <definedName name="TABLE_2" localSheetId="6">VMA!$E$32:$F$32</definedName>
    <definedName name="TABLE_2">#REF!</definedName>
    <definedName name="TABLE_3" localSheetId="6">VMA!$G$32:$I$32</definedName>
    <definedName name="TABLE_3">#REF!</definedName>
    <definedName name="TABLE_4" localSheetId="6">VMA!$C$34:$D$34</definedName>
    <definedName name="TABLE_4">#REF!</definedName>
    <definedName name="TABLE_5" localSheetId="6">VMA!$A$23:$J$38</definedName>
    <definedName name="TABLE_5">#REF!</definedName>
    <definedName name="theo_marathon">Etalonnage!$B$26</definedName>
    <definedName name="v_vma" localSheetId="4">[1]Etalonnage!$E$15</definedName>
    <definedName name="v_vma" localSheetId="3">[1]Etalonnage!$E$15</definedName>
    <definedName name="v_vma">Etalonnage!$E$15</definedName>
    <definedName name="v_vma_obj_kmh">Etalonnage!$E$16</definedName>
    <definedName name="vma_10" localSheetId="6">[2]constantes!#REF!</definedName>
    <definedName name="vma_100" localSheetId="6">[2]constantes!#REF!</definedName>
    <definedName name="vma_1000_obj">Etalonnage!$E$14</definedName>
    <definedName name="vma_200" localSheetId="6">[2]constantes!#REF!</definedName>
    <definedName name="VMA_kmh">Etalonnage!$B$22</definedName>
    <definedName name="vma_obj_km" localSheetId="4">[1]Etalonnage!$E$13</definedName>
    <definedName name="vma_obj_km" localSheetId="3">[1]Etalonnage!$E$13</definedName>
    <definedName name="vma_obj_km">Etalonnage!$E$13</definedName>
    <definedName name="z_travail" localSheetId="4">[1]constantes!$B$19</definedName>
    <definedName name="z_travail" localSheetId="3">[1]constantes!$B$19</definedName>
    <definedName name="z_travail">constantes!$B$19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" i="15" l="1"/>
  <c r="O11" i="15"/>
  <c r="P10" i="15"/>
  <c r="O10" i="15"/>
  <c r="P10" i="13"/>
  <c r="O10" i="13"/>
  <c r="P11" i="13"/>
  <c r="O11" i="13"/>
  <c r="P21" i="15"/>
  <c r="O21" i="15"/>
  <c r="P20" i="15"/>
  <c r="O20" i="15"/>
  <c r="P20" i="13"/>
  <c r="O20" i="13"/>
  <c r="P21" i="13"/>
  <c r="O21" i="13"/>
  <c r="P31" i="15"/>
  <c r="O31" i="15"/>
  <c r="P30" i="15"/>
  <c r="O30" i="15"/>
  <c r="P30" i="13"/>
  <c r="O30" i="13"/>
  <c r="P31" i="13"/>
  <c r="O31" i="13"/>
  <c r="K19" i="15"/>
  <c r="K9" i="15"/>
  <c r="G28" i="11"/>
  <c r="K21" i="11"/>
  <c r="C21" i="11"/>
  <c r="K11" i="11"/>
  <c r="K27" i="13"/>
  <c r="K19" i="13"/>
  <c r="C9" i="13"/>
  <c r="K7" i="13"/>
  <c r="B5" i="11"/>
  <c r="E24" i="1"/>
  <c r="C18" i="1"/>
  <c r="B10" i="12"/>
  <c r="N25" i="11"/>
  <c r="J25" i="11"/>
  <c r="F25" i="11"/>
  <c r="B25" i="11"/>
  <c r="N15" i="11"/>
  <c r="J15" i="11"/>
  <c r="F15" i="11"/>
  <c r="B15" i="11"/>
  <c r="N5" i="11"/>
  <c r="J5" i="11"/>
  <c r="F5" i="11"/>
  <c r="E25" i="1"/>
  <c r="D12" i="1"/>
  <c r="B28" i="12"/>
  <c r="B34" i="12"/>
  <c r="B24" i="12"/>
  <c r="B27" i="12"/>
  <c r="E13" i="1"/>
  <c r="F26" i="12"/>
  <c r="B33" i="12"/>
  <c r="E12" i="1"/>
  <c r="B21" i="12"/>
  <c r="B26" i="12"/>
  <c r="B23" i="12"/>
  <c r="E23" i="1"/>
  <c r="B22" i="12"/>
  <c r="B29" i="12"/>
  <c r="B12" i="9"/>
  <c r="C12" i="9"/>
  <c r="D12" i="9"/>
  <c r="E12" i="9"/>
  <c r="F12" i="9"/>
  <c r="G12" i="9"/>
  <c r="H12" i="9"/>
  <c r="I12" i="9"/>
  <c r="J12" i="9"/>
  <c r="B13" i="9"/>
  <c r="C13" i="9"/>
  <c r="D13" i="9"/>
  <c r="E13" i="9"/>
  <c r="F13" i="9"/>
  <c r="G13" i="9"/>
  <c r="H13" i="9"/>
  <c r="I13" i="9"/>
  <c r="J13" i="9"/>
  <c r="B14" i="9"/>
  <c r="C14" i="9"/>
  <c r="D14" i="9"/>
  <c r="E14" i="9"/>
  <c r="F14" i="9"/>
  <c r="G14" i="9"/>
  <c r="H14" i="9"/>
  <c r="I14" i="9"/>
  <c r="J14" i="9"/>
  <c r="B15" i="9"/>
  <c r="C15" i="9"/>
  <c r="D15" i="9"/>
  <c r="E15" i="9"/>
  <c r="F15" i="9"/>
  <c r="G15" i="9"/>
  <c r="H15" i="9"/>
  <c r="I15" i="9"/>
  <c r="J15" i="9"/>
  <c r="B16" i="9"/>
  <c r="C16" i="9"/>
  <c r="D16" i="9"/>
  <c r="E16" i="9"/>
  <c r="F16" i="9"/>
  <c r="G16" i="9"/>
  <c r="H16" i="9"/>
  <c r="I16" i="9"/>
  <c r="J16" i="9"/>
  <c r="B17" i="9"/>
  <c r="C17" i="9"/>
  <c r="D17" i="9"/>
  <c r="E17" i="9"/>
  <c r="F17" i="9"/>
  <c r="G17" i="9"/>
  <c r="H17" i="9"/>
  <c r="I17" i="9"/>
  <c r="J17" i="9"/>
  <c r="F21" i="9"/>
  <c r="B24" i="1"/>
  <c r="B12" i="1"/>
  <c r="B14" i="1"/>
  <c r="B15" i="1"/>
  <c r="D12" i="12"/>
  <c r="D15" i="12"/>
  <c r="D16" i="12"/>
  <c r="B62" i="12"/>
  <c r="D14" i="12"/>
  <c r="B60" i="12"/>
  <c r="D28" i="12"/>
  <c r="D27" i="12"/>
  <c r="D19" i="12"/>
  <c r="D17" i="12"/>
  <c r="D11" i="12"/>
  <c r="D26" i="12"/>
  <c r="D18" i="12"/>
  <c r="O27" i="11"/>
  <c r="D13" i="12"/>
  <c r="B18" i="12"/>
  <c r="B13" i="12"/>
  <c r="B19" i="12"/>
  <c r="B12" i="12"/>
  <c r="B11" i="12"/>
  <c r="B14" i="12"/>
  <c r="B47" i="12"/>
  <c r="B17" i="12"/>
  <c r="B15" i="12"/>
  <c r="B16" i="12"/>
  <c r="B25" i="1"/>
  <c r="B27" i="1"/>
  <c r="B11" i="1"/>
  <c r="B26" i="1"/>
  <c r="B13" i="1"/>
  <c r="B23" i="1"/>
  <c r="B22" i="1"/>
  <c r="P22" i="15"/>
  <c r="P22" i="13"/>
  <c r="P28" i="11"/>
  <c r="P32" i="11"/>
  <c r="P22" i="11"/>
  <c r="P32" i="15"/>
  <c r="B50" i="12"/>
  <c r="C27" i="1"/>
  <c r="P32" i="13"/>
  <c r="P7" i="13"/>
  <c r="D30" i="15"/>
  <c r="D29" i="13"/>
  <c r="H17" i="13"/>
  <c r="L28" i="11"/>
  <c r="L18" i="11"/>
  <c r="D19" i="15"/>
  <c r="P28" i="13"/>
  <c r="D17" i="13"/>
  <c r="H7" i="13"/>
  <c r="D8" i="11"/>
  <c r="H18" i="11"/>
  <c r="B46" i="12"/>
  <c r="H8" i="11"/>
  <c r="H29" i="15"/>
  <c r="H9" i="15"/>
  <c r="P17" i="13"/>
  <c r="D28" i="11"/>
  <c r="P8" i="11"/>
  <c r="H27" i="13"/>
  <c r="D18" i="11"/>
  <c r="D9" i="15"/>
  <c r="L8" i="11"/>
  <c r="G12" i="15"/>
  <c r="K31" i="13"/>
  <c r="G31" i="11"/>
  <c r="O28" i="15"/>
  <c r="K21" i="13"/>
  <c r="O18" i="11"/>
  <c r="G19" i="15"/>
  <c r="C12" i="15"/>
  <c r="O8" i="15"/>
  <c r="G31" i="13"/>
  <c r="G32" i="11"/>
  <c r="C31" i="11"/>
  <c r="O22" i="15"/>
  <c r="K22" i="15"/>
  <c r="G21" i="13"/>
  <c r="O22" i="11"/>
  <c r="G32" i="13"/>
  <c r="C31" i="13"/>
  <c r="K11" i="13"/>
  <c r="O32" i="13"/>
  <c r="C32" i="11"/>
  <c r="G11" i="11"/>
  <c r="O32" i="15"/>
  <c r="B63" i="12"/>
  <c r="G22" i="15"/>
  <c r="C21" i="13"/>
  <c r="O18" i="15"/>
  <c r="K12" i="15"/>
  <c r="C32" i="13"/>
  <c r="G11" i="13"/>
  <c r="O32" i="11"/>
  <c r="K31" i="11"/>
  <c r="G21" i="11"/>
  <c r="C11" i="11"/>
  <c r="C32" i="15"/>
  <c r="C22" i="15"/>
  <c r="O22" i="13"/>
  <c r="P28" i="15"/>
  <c r="L21" i="13"/>
  <c r="P18" i="11"/>
  <c r="P27" i="11"/>
  <c r="H19" i="15"/>
  <c r="P8" i="15"/>
  <c r="H31" i="13"/>
  <c r="D31" i="11"/>
  <c r="H21" i="13"/>
  <c r="D31" i="13"/>
  <c r="L11" i="13"/>
  <c r="H11" i="11"/>
  <c r="B49" i="12"/>
  <c r="D21" i="13"/>
  <c r="P18" i="15"/>
  <c r="H11" i="13"/>
  <c r="L31" i="11"/>
  <c r="H21" i="11"/>
  <c r="D11" i="11"/>
  <c r="L31" i="13"/>
  <c r="H31" i="11"/>
  <c r="D27" i="13"/>
  <c r="D22" i="11"/>
  <c r="P20" i="11"/>
  <c r="L32" i="15"/>
  <c r="L32" i="13"/>
  <c r="D12" i="13"/>
  <c r="D28" i="15"/>
  <c r="L22" i="13"/>
  <c r="P21" i="11"/>
  <c r="P31" i="11"/>
  <c r="H32" i="15"/>
  <c r="L29" i="11"/>
  <c r="P30" i="11"/>
  <c r="H22" i="13"/>
  <c r="D27" i="11"/>
  <c r="L22" i="11"/>
  <c r="L12" i="11"/>
  <c r="B52" i="12"/>
  <c r="P11" i="11"/>
  <c r="L12" i="13"/>
  <c r="D12" i="11"/>
  <c r="P10" i="11"/>
  <c r="D22" i="13"/>
  <c r="H22" i="11"/>
  <c r="D17" i="11"/>
  <c r="H12" i="11"/>
  <c r="H12" i="13"/>
  <c r="L32" i="11"/>
  <c r="K17" i="15"/>
  <c r="C7" i="15"/>
  <c r="G29" i="13"/>
  <c r="G19" i="13"/>
  <c r="K17" i="13"/>
  <c r="C11" i="13"/>
  <c r="C29" i="11"/>
  <c r="G27" i="15"/>
  <c r="K27" i="11"/>
  <c r="O17" i="11"/>
  <c r="G17" i="15"/>
  <c r="C19" i="13"/>
  <c r="K9" i="13"/>
  <c r="G9" i="11"/>
  <c r="G7" i="11"/>
  <c r="B64" i="12"/>
  <c r="K9" i="11"/>
  <c r="G27" i="11"/>
  <c r="K19" i="11"/>
  <c r="K17" i="11"/>
  <c r="C17" i="15"/>
  <c r="K7" i="15"/>
  <c r="O18" i="13"/>
  <c r="G9" i="13"/>
  <c r="C9" i="11"/>
  <c r="C7" i="11"/>
  <c r="K7" i="11"/>
  <c r="G19" i="11"/>
  <c r="G17" i="11"/>
  <c r="G7" i="15"/>
  <c r="K29" i="13"/>
  <c r="C7" i="13"/>
  <c r="G29" i="11"/>
  <c r="O7" i="11"/>
  <c r="K27" i="15"/>
  <c r="O8" i="13"/>
  <c r="C19" i="11"/>
  <c r="P12" i="11"/>
  <c r="P12" i="15"/>
  <c r="B48" i="12"/>
  <c r="P12" i="13"/>
  <c r="B59" i="12"/>
  <c r="B58" i="12"/>
  <c r="H27" i="15"/>
  <c r="L27" i="11"/>
  <c r="P17" i="11"/>
  <c r="H17" i="15"/>
  <c r="D19" i="13"/>
  <c r="L9" i="13"/>
  <c r="H27" i="11"/>
  <c r="L19" i="11"/>
  <c r="L17" i="11"/>
  <c r="D17" i="15"/>
  <c r="L7" i="15"/>
  <c r="P18" i="13"/>
  <c r="H9" i="13"/>
  <c r="D9" i="11"/>
  <c r="D7" i="11"/>
  <c r="H19" i="11"/>
  <c r="H17" i="11"/>
  <c r="B51" i="12"/>
  <c r="L27" i="15"/>
  <c r="H7" i="15"/>
  <c r="L29" i="13"/>
  <c r="D7" i="13"/>
  <c r="H29" i="11"/>
  <c r="P7" i="11"/>
  <c r="H9" i="11"/>
  <c r="P8" i="13"/>
  <c r="D19" i="11"/>
  <c r="H7" i="11"/>
  <c r="L17" i="15"/>
  <c r="D7" i="15"/>
  <c r="H29" i="13"/>
  <c r="H19" i="13"/>
  <c r="L17" i="13"/>
  <c r="D11" i="13"/>
  <c r="D29" i="11"/>
  <c r="L9" i="11"/>
  <c r="L7" i="11"/>
  <c r="O11" i="11"/>
  <c r="G12" i="13"/>
  <c r="K32" i="11"/>
  <c r="O10" i="11"/>
  <c r="D12" i="15"/>
  <c r="C27" i="13"/>
  <c r="H32" i="11"/>
  <c r="C22" i="11"/>
  <c r="O20" i="11"/>
  <c r="O28" i="11"/>
  <c r="K32" i="15"/>
  <c r="L22" i="15"/>
  <c r="K32" i="13"/>
  <c r="C12" i="13"/>
  <c r="O31" i="11"/>
  <c r="C28" i="15"/>
  <c r="H32" i="13"/>
  <c r="K22" i="13"/>
  <c r="D32" i="11"/>
  <c r="O21" i="11"/>
  <c r="O30" i="11"/>
  <c r="G32" i="15"/>
  <c r="H22" i="15"/>
  <c r="K29" i="11"/>
  <c r="B65" i="12"/>
  <c r="D32" i="15"/>
  <c r="L12" i="15"/>
  <c r="D32" i="13"/>
  <c r="G22" i="13"/>
  <c r="C27" i="11"/>
  <c r="K22" i="11"/>
  <c r="K12" i="11"/>
  <c r="D22" i="15"/>
  <c r="K12" i="13"/>
  <c r="H12" i="15"/>
  <c r="C22" i="13"/>
  <c r="G22" i="11"/>
  <c r="C17" i="11"/>
  <c r="G12" i="11"/>
  <c r="C12" i="11"/>
  <c r="L7" i="13"/>
  <c r="L11" i="11"/>
  <c r="L9" i="15"/>
  <c r="B44" i="12"/>
  <c r="D9" i="13"/>
  <c r="D21" i="11"/>
  <c r="F27" i="12"/>
  <c r="E14" i="1"/>
  <c r="C9" i="15"/>
  <c r="O7" i="13"/>
  <c r="C30" i="15"/>
  <c r="C29" i="13"/>
  <c r="G17" i="13"/>
  <c r="G8" i="11"/>
  <c r="K28" i="11"/>
  <c r="K18" i="11"/>
  <c r="B61" i="12"/>
  <c r="K8" i="11"/>
  <c r="O12" i="15"/>
  <c r="C19" i="15"/>
  <c r="O28" i="13"/>
  <c r="C17" i="13"/>
  <c r="G7" i="13"/>
  <c r="C8" i="11"/>
  <c r="O12" i="13"/>
  <c r="G18" i="11"/>
  <c r="O12" i="11"/>
  <c r="G29" i="15"/>
  <c r="G9" i="15"/>
  <c r="O17" i="13"/>
  <c r="C28" i="11"/>
  <c r="O8" i="11"/>
  <c r="G27" i="13"/>
  <c r="C18" i="11"/>
  <c r="L19" i="15"/>
  <c r="L29" i="15"/>
  <c r="H28" i="11"/>
  <c r="L21" i="11"/>
  <c r="B45" i="12"/>
  <c r="L27" i="13"/>
  <c r="L19" i="13"/>
  <c r="B55" i="12"/>
  <c r="B54" i="12"/>
  <c r="B57" i="12"/>
  <c r="B56" i="12"/>
  <c r="B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mt</author>
    <author>marc</author>
  </authors>
  <commentList>
    <comment ref="B9" authorId="0" shapeId="0" xr:uid="{00000000-0006-0000-0100-000001000000}">
      <text>
        <r>
          <rPr>
            <sz val="10"/>
            <color rgb="FF000000"/>
            <rFont val="Arial"/>
            <family val="2"/>
          </rPr>
          <t>Ce test est couru sur 2000m pour les bons coureurs ou sur 1600m ou 1200m pour les autres</t>
        </r>
      </text>
    </comment>
    <comment ref="E9" authorId="0" shapeId="0" xr:uid="{00000000-0006-0000-0100-000002000000}">
      <text>
        <r>
          <rPr>
            <sz val="10"/>
            <color rgb="FF000000"/>
            <rFont val="Arial"/>
            <family val="2"/>
          </rPr>
          <t xml:space="preserve">restez réaliste.
</t>
        </r>
        <r>
          <rPr>
            <sz val="10"/>
            <color rgb="FF000000"/>
            <rFont val="Arial"/>
            <family val="2"/>
          </rPr>
          <t>N'espérez pas une progression trop rapide par rapport à votre valeur réelle!</t>
        </r>
      </text>
    </comment>
    <comment ref="A10" authorId="0" shapeId="0" xr:uid="{00000000-0006-0000-0100-000003000000}">
      <text>
        <r>
          <rPr>
            <sz val="10"/>
            <color rgb="FF000000"/>
            <rFont val="Arial"/>
            <family val="2"/>
          </rPr>
          <t xml:space="preserve">Il s'agit d'un test sur piste à allure constante, réalisé au maximum des possibilités
</t>
        </r>
      </text>
    </comment>
    <comment ref="B10" authorId="0" shapeId="0" xr:uid="{00000000-0006-0000-0100-000004000000}">
      <text>
        <r>
          <rPr>
            <sz val="10"/>
            <color rgb="FF000000"/>
            <rFont val="Arial"/>
            <family val="2"/>
          </rPr>
          <t xml:space="preserve">Le test sur piste est réalisé au maximum des possibilités, à allure constante. Le dernier demi-tour sera couru "à fond", ce qui permettra aussi de connaître sa F.C. max
</t>
        </r>
      </text>
    </comment>
    <comment ref="D12" authorId="1" shapeId="0" xr:uid="{00000000-0006-0000-0100-000005000000}">
      <text>
        <r>
          <rPr>
            <b/>
            <sz val="8"/>
            <color rgb="FF000000"/>
            <rFont val="Tahoma"/>
            <family val="2"/>
          </rPr>
          <t>Pour réaliser cet objectif, il faut réaliser au minimum au CAT test: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E12" authorId="0" shapeId="0" xr:uid="{00000000-0006-0000-0100-000006000000}">
      <text>
        <r>
          <rPr>
            <b/>
            <sz val="10"/>
            <color rgb="FF000000"/>
            <rFont val="Arial"/>
            <family val="2"/>
          </rPr>
          <t>Ce temps est le temps minimum à réaliser sur le test pour espérer réaliser l'objectif souhaité</t>
        </r>
      </text>
    </comment>
    <comment ref="E13" authorId="0" shapeId="0" xr:uid="{00000000-0006-0000-0100-000007000000}">
      <text>
        <r>
          <rPr>
            <b/>
            <sz val="10"/>
            <color rgb="FF000000"/>
            <rFont val="Arial"/>
            <family val="2"/>
          </rPr>
          <t xml:space="preserve">Saisissez le temps 20km souhaité en haut du tableau !
</t>
        </r>
      </text>
    </comment>
    <comment ref="B14" authorId="1" shapeId="0" xr:uid="{00000000-0006-0000-0100-000008000000}">
      <text>
        <r>
          <rPr>
            <b/>
            <sz val="8"/>
            <color rgb="FF000000"/>
            <rFont val="Tahoma"/>
            <family val="2"/>
          </rPr>
          <t xml:space="preserve">VMA:
</t>
        </r>
        <r>
          <rPr>
            <b/>
            <sz val="8"/>
            <color rgb="FF000000"/>
            <rFont val="Tahoma"/>
            <family val="2"/>
          </rPr>
          <t xml:space="preserve">Vitesse Maximum Aerobie.
</t>
        </r>
        <r>
          <rPr>
            <sz val="8"/>
            <color rgb="FF000000"/>
            <rFont val="Tahoma"/>
            <family val="2"/>
          </rPr>
          <t xml:space="preserve">Vos allures de courses sont calculées en % de cette vitesse (voir Feuille "VMA")
</t>
        </r>
      </text>
    </comment>
    <comment ref="E15" authorId="0" shapeId="0" xr:uid="{00000000-0006-0000-0100-000009000000}">
      <text>
        <r>
          <rPr>
            <sz val="10"/>
            <color rgb="FF000000"/>
            <rFont val="Arial"/>
            <family val="2"/>
          </rPr>
          <t xml:space="preserve">Indiquez le temps réaliser sur le 10km test après 4 semaines, de préférence sur terrain plat et fait à fond
</t>
        </r>
      </text>
    </comment>
    <comment ref="B20" authorId="0" shapeId="0" xr:uid="{00000000-0006-0000-0100-00000A000000}">
      <text>
        <r>
          <rPr>
            <sz val="10"/>
            <color rgb="FF000000"/>
            <rFont val="Arial"/>
            <family val="2"/>
          </rPr>
          <t xml:space="preserve">distance entre 100 &amp; 1000 mètres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</author>
  </authors>
  <commentList>
    <comment ref="C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C'est la valeur que vous avez trouvé cellule B14  Feuille Etalonnage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<sst xmlns="http://schemas.openxmlformats.org/spreadsheetml/2006/main" count="852" uniqueCount="320">
  <si>
    <t>Saisissez vos paramètres dans les cases en jaunes</t>
  </si>
  <si>
    <t>Votre VMA (m/sec):</t>
  </si>
  <si>
    <t>Les cases à saisir sont en jaune</t>
  </si>
  <si>
    <t>60' ENDURANCE</t>
  </si>
  <si>
    <t>Entrez votre</t>
  </si>
  <si>
    <t>VMA</t>
  </si>
  <si>
    <t>km/h</t>
  </si>
  <si>
    <t>TEMPS DE PASSAGE AUX :</t>
  </si>
  <si>
    <t>distances (en mètres) choisies par l'entraîneur</t>
  </si>
  <si>
    <t>Pour une autre distance :</t>
  </si>
  <si>
    <t>% choisi :</t>
  </si>
  <si>
    <t>distance :</t>
  </si>
  <si>
    <t>mètres</t>
  </si>
  <si>
    <t>Temps :</t>
  </si>
  <si>
    <t xml:space="preserve">REPOS </t>
  </si>
  <si>
    <t>Paramètres correspondants à l'objectif choisi:</t>
  </si>
  <si>
    <t>VMA sur 1000m (hh:mn:sec):</t>
  </si>
  <si>
    <t>K_test</t>
  </si>
  <si>
    <t>K_facile</t>
  </si>
  <si>
    <t>Votre valeur actuelle:</t>
  </si>
  <si>
    <t>Constantes &amp; parametres de calcul</t>
  </si>
  <si>
    <t>calculs intermédiaires</t>
  </si>
  <si>
    <t>Temps de récupération</t>
  </si>
  <si>
    <t>R_100</t>
  </si>
  <si>
    <t>Votre temps au Km (mn:sec):</t>
  </si>
  <si>
    <t>en sec:</t>
  </si>
  <si>
    <t>R_200</t>
  </si>
  <si>
    <t>R_300</t>
  </si>
  <si>
    <t>en Km/heure:</t>
  </si>
  <si>
    <t>R_400</t>
  </si>
  <si>
    <t>R_500</t>
  </si>
  <si>
    <t>votre indice VO2 Max:</t>
  </si>
  <si>
    <t>R_1000</t>
  </si>
  <si>
    <t>k_vma</t>
  </si>
  <si>
    <t>k_anaero</t>
  </si>
  <si>
    <t>Allure VMA correspondante (mn:sec):</t>
  </si>
  <si>
    <t>k_aero</t>
  </si>
  <si>
    <t>en sec :</t>
  </si>
  <si>
    <t>k_recup</t>
  </si>
  <si>
    <t>k_marat</t>
  </si>
  <si>
    <t>k_semi</t>
  </si>
  <si>
    <t>T_10k</t>
  </si>
  <si>
    <t>Allure de récupération:</t>
  </si>
  <si>
    <t>k_10</t>
  </si>
  <si>
    <t>T_semi</t>
  </si>
  <si>
    <t>ind_vma</t>
  </si>
  <si>
    <t>al_semi</t>
  </si>
  <si>
    <t>dist_vma_min</t>
  </si>
  <si>
    <t>dist_marathon</t>
  </si>
  <si>
    <t>Recommandations</t>
  </si>
  <si>
    <t>séance d'intervalles</t>
  </si>
  <si>
    <t>Vert Clair</t>
  </si>
  <si>
    <t>50' ENDURANCE</t>
  </si>
  <si>
    <t>L'échauffement  :</t>
  </si>
  <si>
    <t xml:space="preserve">Celui ci varie en fonction du contenu de la séance, plus la séance comporte de rythmes rapides  </t>
  </si>
  <si>
    <t>et plus l'échauffement est complet. A la dizaine de minutes de course lente indispensable</t>
  </si>
  <si>
    <t xml:space="preserve">pour bien débuter une sortie en endurance, il faut ajouter (au minimum), quelques exercices </t>
  </si>
  <si>
    <t>Le retour au calme  :</t>
  </si>
  <si>
    <t>Afin de bien scinder le retour au calme de la période qui précède, il est conseillé de marcher</t>
  </si>
  <si>
    <t>Avant tout il est nécessaire de se connaître un peu:</t>
  </si>
  <si>
    <t>Il est donc nécessaire de commencer par un test de terrain, pratiqué sur piste de préférence.</t>
  </si>
  <si>
    <t>( record de l'épreuve, profil, nombre et niveau des participants, etc )</t>
  </si>
  <si>
    <t>car il est fort probable que vous n'iriez pas au bout!</t>
  </si>
  <si>
    <t>Un plan sur 4 séances hebdomadaires</t>
  </si>
  <si>
    <t>Un plan sur 5 séances hebdomadaires</t>
  </si>
  <si>
    <t>MER.</t>
  </si>
  <si>
    <t>VEN.</t>
  </si>
  <si>
    <t>SAM.</t>
  </si>
  <si>
    <t>DIM.</t>
  </si>
  <si>
    <t>JEU.</t>
  </si>
  <si>
    <t>MAR.</t>
  </si>
  <si>
    <t>LUN.</t>
  </si>
  <si>
    <r>
      <t xml:space="preserve">En plus lent </t>
    </r>
    <r>
      <rPr>
        <sz val="8"/>
        <rFont val="Verdana"/>
        <family val="2"/>
      </rPr>
      <t xml:space="preserve">: cela se fera en fonction de l'(in)expérience et de l'épreuve choisie </t>
    </r>
  </si>
  <si>
    <t>COULEUR DE LA CASE</t>
  </si>
  <si>
    <t>TYPE D' ENTRAÎNEMENT</t>
  </si>
  <si>
    <t>INFORMATIONS ANNEXES</t>
  </si>
  <si>
    <t>date de l'épreuve :</t>
  </si>
  <si>
    <t>55' ENDURANCE</t>
  </si>
  <si>
    <t xml:space="preserve">séance d'endurance </t>
  </si>
  <si>
    <t>Sur quelle distance voulez-vous connaître votre allure VMA (mètres)</t>
  </si>
  <si>
    <t>Vos objectifs : (soyez réaliste!)</t>
  </si>
  <si>
    <r>
      <t xml:space="preserve">Votre </t>
    </r>
    <r>
      <rPr>
        <b/>
        <sz val="10"/>
        <color indexed="8"/>
        <rFont val="Arial"/>
        <family val="2"/>
      </rPr>
      <t>VMA</t>
    </r>
    <r>
      <rPr>
        <sz val="10"/>
        <color indexed="8"/>
        <rFont val="Arial"/>
        <family val="2"/>
      </rPr>
      <t xml:space="preserve"> (Km/heure):</t>
    </r>
  </si>
  <si>
    <t>Saisissez le temps réalisé au test (hh:mm:ss)   :</t>
  </si>
  <si>
    <t xml:space="preserve"> </t>
  </si>
  <si>
    <t xml:space="preserve">% </t>
  </si>
  <si>
    <t xml:space="preserve">souhaités de la </t>
  </si>
  <si>
    <t>65' ENDURANCE</t>
  </si>
  <si>
    <t>70' ENDURANCE</t>
  </si>
  <si>
    <t>Seuil :</t>
  </si>
  <si>
    <t>k_semi_2</t>
  </si>
  <si>
    <t>45' ENDURANCE</t>
  </si>
  <si>
    <t>50 ENDURANCE</t>
  </si>
  <si>
    <t xml:space="preserve"> 3 x : (4x 200M/ r = 1' 45")                   Repos= 3' 00"</t>
  </si>
  <si>
    <t>Sortie longue                                       de 1H35' à 1H40'</t>
  </si>
  <si>
    <t>Sortie longue                                           de 1h30' à 1H35'</t>
  </si>
  <si>
    <t>Sortie "contrôle"        15KM</t>
  </si>
  <si>
    <t>Test 10 Km seul ou compétition</t>
  </si>
  <si>
    <t xml:space="preserve">Sortie longue                                      de 1H40 dont 3' Spec par 15'' </t>
  </si>
  <si>
    <t xml:space="preserve"> 3 x : (4x 300M/ r = 2')                   Repos = 3' 00"</t>
  </si>
  <si>
    <t xml:space="preserve"> 4 x (3 x 400M/r = 1'50'') Repos = 3' 00"</t>
  </si>
  <si>
    <t xml:space="preserve">Echff -10' End -1km, 2km, 3km, 4km  R = 2' E1 </t>
  </si>
  <si>
    <t>Jaune</t>
  </si>
  <si>
    <t>Orange</t>
  </si>
  <si>
    <t>Rouge</t>
  </si>
  <si>
    <t>séance régénération</t>
  </si>
  <si>
    <t xml:space="preserve">séance à vitesse de l'OBJECTIF </t>
  </si>
  <si>
    <t>bloc compétition ou assimilé</t>
  </si>
  <si>
    <t>Gris</t>
  </si>
  <si>
    <t xml:space="preserve">Sortie endurance                                   de 50' </t>
  </si>
  <si>
    <t>Bras / Tronc / Jambes , des éducatifs et 2 à 3 déboulés avant d' éffectuer des exercices plus rapides.</t>
  </si>
  <si>
    <t>LEGENDE DES CASES JOURNALIERES</t>
  </si>
  <si>
    <t xml:space="preserve">On y a intercalé des compétitions (facultatives) qui sont à réaliser sans aucun souci de performance </t>
  </si>
  <si>
    <t xml:space="preserve">Sortie longue de 1H40              dont 4' Spec par 20'' </t>
  </si>
  <si>
    <t>4 x : ( 3 x 200M/ r = 1' 45")                   Repos= 3' 00"</t>
  </si>
  <si>
    <t>séance Développement CP</t>
  </si>
  <si>
    <t xml:space="preserve">Sortie endurance                                   de 55' </t>
  </si>
  <si>
    <t xml:space="preserve">55' ENDURANCE   </t>
  </si>
  <si>
    <t xml:space="preserve">Sortie longue de              1H35 </t>
  </si>
  <si>
    <t xml:space="preserve"> 4 x (3 x 400M/r = 1'50'')               Repos = 3' 00"</t>
  </si>
  <si>
    <t>2 x ( 5 x 300M / r = 1'50")                   RECUP = 3' 00"</t>
  </si>
  <si>
    <t xml:space="preserve">Echff - 15' END - 4 x 1km                        &amp; 1 x 2 km R = 2' E1 </t>
  </si>
  <si>
    <t xml:space="preserve"> 4 x ( 3 x 400M/r = 1'50'')            Repos = 3' 00"</t>
  </si>
  <si>
    <t>20'ECH - 9 x 500M                    Repos = 2' 30"</t>
  </si>
  <si>
    <t>20'ECH - 5 X 900M                Repos = 2' 30"</t>
  </si>
  <si>
    <t xml:space="preserve">Echff - 15' End - 6 x 900m    R = 2' E1 </t>
  </si>
  <si>
    <t xml:space="preserve">Echff - 15' End - 5 x 1000m    R = 2' E1 </t>
  </si>
  <si>
    <t>Bleu</t>
  </si>
  <si>
    <t>20'ECH - 4 x (2 x 500M -r 2')                   Repos = 3' 00"</t>
  </si>
  <si>
    <t>CP (W)</t>
  </si>
  <si>
    <t xml:space="preserve">Saisissez votre Cp (Critical power) si vous la connaissez     :   </t>
  </si>
  <si>
    <t xml:space="preserve">Saisissez votre puissance moyenne de votre test    : </t>
  </si>
  <si>
    <t>dist_20k</t>
  </si>
  <si>
    <t>cp</t>
  </si>
  <si>
    <t>cp_200-300</t>
  </si>
  <si>
    <t>cp_400-500</t>
  </si>
  <si>
    <t>cp_600-800</t>
  </si>
  <si>
    <t>cp_1000</t>
  </si>
  <si>
    <t>cp_2000</t>
  </si>
  <si>
    <t>cp_3000</t>
  </si>
  <si>
    <t>cp_endu</t>
  </si>
  <si>
    <t>cp_recup</t>
  </si>
  <si>
    <t>Cp calculée selon le test      :</t>
  </si>
  <si>
    <t xml:space="preserve">Distance &gt; exercices à +/-  105 % CP </t>
  </si>
  <si>
    <t>Temps final  &gt; TEMPO à +/- 100 % CP</t>
  </si>
  <si>
    <t>Temps &gt; exercices à +/- 125% CP</t>
  </si>
  <si>
    <t xml:space="preserve">Vitesse au Km &gt; exercices à +/- 92 % CP </t>
  </si>
  <si>
    <t xml:space="preserve">Vitesse au Km &gt; exercices à +/- 70% CP </t>
  </si>
  <si>
    <t xml:space="preserve">Vitesse au Km &gt; exercices à +/- 80% CP </t>
  </si>
  <si>
    <t>all_400-500</t>
  </si>
  <si>
    <t>all_200-300</t>
  </si>
  <si>
    <t>all_600-800</t>
  </si>
  <si>
    <t>all_1000</t>
  </si>
  <si>
    <t>all_2000</t>
  </si>
  <si>
    <t>all_3000</t>
  </si>
  <si>
    <t>all_endu</t>
  </si>
  <si>
    <t>all_recup</t>
  </si>
  <si>
    <t>Endu</t>
  </si>
  <si>
    <t>Récup</t>
  </si>
  <si>
    <t>Seuil</t>
  </si>
  <si>
    <t>400-500m</t>
  </si>
  <si>
    <t>200-300m</t>
  </si>
  <si>
    <t>600-800m</t>
  </si>
  <si>
    <t>1000m</t>
  </si>
  <si>
    <t>2000m</t>
  </si>
  <si>
    <t>all_20k</t>
  </si>
  <si>
    <t>cp_20k</t>
  </si>
  <si>
    <t>20k</t>
  </si>
  <si>
    <t>200m</t>
  </si>
  <si>
    <t>300m</t>
  </si>
  <si>
    <t>500m</t>
  </si>
  <si>
    <t>600m</t>
  </si>
  <si>
    <t>800m</t>
  </si>
  <si>
    <t>400m</t>
  </si>
  <si>
    <t>40' ENDURANCE - 3 déb+100mComp - 10' E1</t>
  </si>
  <si>
    <t xml:space="preserve">Sortie longue                                  de  1H30 </t>
  </si>
  <si>
    <t>Sortie longue                                           de 1H35'</t>
  </si>
  <si>
    <t xml:space="preserve">Sortie endurance                                  de 55' </t>
  </si>
  <si>
    <t xml:space="preserve">Sortie longue                                           de 1h40' </t>
  </si>
  <si>
    <t xml:space="preserve">Sortie endurance                                  de 50' </t>
  </si>
  <si>
    <t>20'ECH - 8 x 500M                 Repos = 2' 30"</t>
  </si>
  <si>
    <t>Sortie  longue                                      de 1H20</t>
  </si>
  <si>
    <t>30' ENDURANCE - 3 déb+100mComp - 10' E1</t>
  </si>
  <si>
    <t>40' ENDURANCE</t>
  </si>
  <si>
    <t xml:space="preserve">Sortie longue de              1H20 </t>
  </si>
  <si>
    <t xml:space="preserve">Sortie longue 1H40 : 50'    &amp; 1h05 = 2km &amp; 3km Spec </t>
  </si>
  <si>
    <t xml:space="preserve">Sortie longue 1H35 : 30', 45', 60' &amp; 1h15 = 1km Spec </t>
  </si>
  <si>
    <t xml:space="preserve">Sortie longue 1H40 : de 35' à 1H25 : 3' Spec par 10' </t>
  </si>
  <si>
    <t xml:space="preserve">Sortie longue 1H35 : de 30' à 1H20 : 2' Spec par 10' </t>
  </si>
  <si>
    <t xml:space="preserve">Sortie longue 1H35 : de 40' à 1H20 2' Spec par 10' </t>
  </si>
  <si>
    <t xml:space="preserve">Sortie longue 1H30 : de 35' à 1H15 1' Spec par 5' </t>
  </si>
  <si>
    <t xml:space="preserve">Temps réel réalisé sur le 10km test   </t>
  </si>
  <si>
    <t>t réel 10k</t>
  </si>
  <si>
    <t xml:space="preserve">Echff - 15' END - 1km &amp; 3 x 2 km    R = 2' E1 </t>
  </si>
  <si>
    <t xml:space="preserve">Echff - 15' End - 1km &amp; 2 x  3 km  R = 2' E1 </t>
  </si>
  <si>
    <t>semaine du 07/03 au 13/03</t>
  </si>
  <si>
    <t>semaine du 14/03 au 20/03</t>
  </si>
  <si>
    <t>semaine du 21/03 au 27/03</t>
  </si>
  <si>
    <t>semaine du 28/03 au 03/04</t>
  </si>
  <si>
    <t>semaine du 04/04 au 10/04</t>
  </si>
  <si>
    <t>semaine du 11/04 au 17/04</t>
  </si>
  <si>
    <t>semaine du 18/04 au 24/04</t>
  </si>
  <si>
    <t>semaine du 25/04 au 01/05</t>
  </si>
  <si>
    <t>semaine du 02/05 au 08/05</t>
  </si>
  <si>
    <t>semaine du 09/05 au 15/05</t>
  </si>
  <si>
    <t>semaine du 16/05 au 22/05</t>
  </si>
  <si>
    <t>semaine du 23/05 au 29/05</t>
  </si>
  <si>
    <t>Indiquez la distance du test (2000m/1600m/1200m)   :</t>
  </si>
  <si>
    <t xml:space="preserve">15' END --1km, 2km, 3km, 4km    R = 2' E1 </t>
  </si>
  <si>
    <t xml:space="preserve">15' END - 1km &amp; 3 x 2 km             R = 2' E1 </t>
  </si>
  <si>
    <t xml:space="preserve">15'End - 2 x (1'/ 2'/ 3'/ 2'/ 1')           r = 2'E1- R 3'           </t>
  </si>
  <si>
    <t xml:space="preserve">15' End- 2 x (1'/ 2'/ 3'/ 4')                  r = 2'E1- R 3'  </t>
  </si>
  <si>
    <t xml:space="preserve">25' End-  - 4 x 3' &amp;  1 x 1km           R = 2' E1 </t>
  </si>
  <si>
    <t>Sortie longue                                      de 1H40 dont 3' Spec par 15'</t>
  </si>
  <si>
    <t>Temps: exercices à +/- 125% CP</t>
  </si>
  <si>
    <t xml:space="preserve">Vitesse au Km: exercices à +/-  105 % CP </t>
  </si>
  <si>
    <t xml:space="preserve">Vitesse au Km: exercices à +/- 92 % CP </t>
  </si>
  <si>
    <t xml:space="preserve">Vitesse au Km: exercices à +/- 85% CP </t>
  </si>
  <si>
    <t xml:space="preserve">Vitesse au Km: exercices à +/- 70% CP </t>
  </si>
  <si>
    <t>Temps théorique sur le 10km test après 4 semaines</t>
  </si>
  <si>
    <t>t 10k +5%</t>
  </si>
  <si>
    <t>Repos et préparation finale + compétition</t>
  </si>
  <si>
    <t>Allure théorique 21,1 Km:</t>
  </si>
  <si>
    <t>Votre temps théorique sur 21,1 Km:</t>
  </si>
  <si>
    <t>Votre objectif sur 21,1 Km (hh:mm:ss)</t>
  </si>
  <si>
    <t>Si la case du test est verte, vous êtes dans la bon, continuez les entrainements.                                            Si la case est en rouge, vous devriez peut-être revoir votre objectif sur 21,1km dans la case E9 avec un temps moins optimiste.</t>
  </si>
  <si>
    <t>Le 21,1 Km devra être couru à (mn:sec) / Kms:</t>
  </si>
  <si>
    <t>21,1 km</t>
  </si>
  <si>
    <t xml:space="preserve">                                                                                                             Votre poids lors du test (kg)      : </t>
  </si>
  <si>
    <t>Le 21,1 Km devra être couru entre (W):</t>
  </si>
  <si>
    <t>une minute avant de reprendre par une course lente d'une dizaine de minutes suivie d'une série d'étirements doux.</t>
  </si>
  <si>
    <r>
      <t xml:space="preserve">Cycle 1 terrien </t>
    </r>
    <r>
      <rPr>
        <b/>
        <sz val="10"/>
        <rFont val="Arial"/>
        <family val="2"/>
      </rPr>
      <t>(5xsem)</t>
    </r>
  </si>
  <si>
    <t>Temps ou allure</t>
  </si>
  <si>
    <t>Watt</t>
  </si>
  <si>
    <t>20' END -  5x (300m/200m/200m)                r =100mE1 - Repos = 2'</t>
  </si>
  <si>
    <t>20' END -                                            5x  (300m/200m/300m)                     r =100m - Repos = 2'</t>
  </si>
  <si>
    <t>20' END-                               5x(400m/200m/300m)                         r =100mE1 - Repos = 2'</t>
  </si>
  <si>
    <r>
      <t xml:space="preserve">Cycle 2 terrien </t>
    </r>
    <r>
      <rPr>
        <b/>
        <sz val="10"/>
        <rFont val="Arial"/>
        <family val="2"/>
      </rPr>
      <t>(5xsem)</t>
    </r>
  </si>
  <si>
    <t>20' END- 4x (500m/300m/500m)                 r =100mE1 Repos = 2'</t>
  </si>
  <si>
    <t>20' END- 4 x  (600m/200m/600m)                 r =100mE1 Repos = 2'</t>
  </si>
  <si>
    <t>20' END- 4 x  (700m/300m/600m)                 r =100mE1 Repos = 2'</t>
  </si>
  <si>
    <r>
      <t xml:space="preserve">Cycle 3 terrien </t>
    </r>
    <r>
      <rPr>
        <b/>
        <sz val="10"/>
        <rFont val="Arial"/>
        <family val="2"/>
      </rPr>
      <t>(5xsem)</t>
    </r>
  </si>
  <si>
    <t>20' END- 3 x  (800m/300m/800m)                 r =100mE1 Repos = 2'</t>
  </si>
  <si>
    <t>SEMI MARATHON</t>
  </si>
  <si>
    <r>
      <t xml:space="preserve">Cycle 1 terrien </t>
    </r>
    <r>
      <rPr>
        <b/>
        <sz val="10"/>
        <rFont val="Arial"/>
        <family val="2"/>
      </rPr>
      <t>(4xsem)</t>
    </r>
  </si>
  <si>
    <r>
      <t xml:space="preserve">Cycle 2 terrien </t>
    </r>
    <r>
      <rPr>
        <b/>
        <sz val="10"/>
        <rFont val="Arial"/>
        <family val="2"/>
      </rPr>
      <t>(4xsem)</t>
    </r>
  </si>
  <si>
    <t>30' END - VMA                             3x (6x40"/40")/3' Repos</t>
  </si>
  <si>
    <t>20' END - 4x (400m/200m/400m)                    r =100mE1 Repos = 2'</t>
  </si>
  <si>
    <t>20' END - 3 x (500m/300m/500m)                       r =100mE1 - Repos = 2'</t>
  </si>
  <si>
    <r>
      <t xml:space="preserve">Cycle 3 terrien </t>
    </r>
    <r>
      <rPr>
        <b/>
        <sz val="10"/>
        <rFont val="Arial"/>
        <family val="2"/>
      </rPr>
      <t>(4xsem)</t>
    </r>
  </si>
  <si>
    <t>20' END - 3 x (800m/900m)            r = 100mE1 - Repos = 2'</t>
  </si>
  <si>
    <t>20' END- 3 x  (600m/200m/600m)                   r =100mE1 Repos = 2'</t>
  </si>
  <si>
    <r>
      <t xml:space="preserve">Cycle 1 terrien </t>
    </r>
    <r>
      <rPr>
        <b/>
        <sz val="10"/>
        <rFont val="Arial"/>
        <family val="2"/>
      </rPr>
      <t>(3xsem)</t>
    </r>
  </si>
  <si>
    <t>20' END -  5x (300m/200m/200m)                     r =100mE1 - Repos = 2'</t>
  </si>
  <si>
    <t>20' END-  5x                            (400m/200m/300m)                         r =100mE1 - Repos = 2'</t>
  </si>
  <si>
    <r>
      <t xml:space="preserve">Cycle 2 terrien </t>
    </r>
    <r>
      <rPr>
        <b/>
        <sz val="10"/>
        <rFont val="Arial"/>
        <family val="2"/>
      </rPr>
      <t>(3xsem)</t>
    </r>
  </si>
  <si>
    <t>20' END- 4x (500m/300m/500m)                r =100mE1 Repos = 2'</t>
  </si>
  <si>
    <r>
      <t xml:space="preserve">Cycle 3 terrien </t>
    </r>
    <r>
      <rPr>
        <b/>
        <sz val="10"/>
        <rFont val="Arial"/>
        <family val="2"/>
      </rPr>
      <t>(3xsem)</t>
    </r>
  </si>
  <si>
    <t>20' END- 3 x (900m/900m)           r = 100mE1 - Repos = 2'</t>
  </si>
  <si>
    <t>20' END- 3 x  (800m/300m/800m)                    r =100mE1 Repos = 2'</t>
  </si>
  <si>
    <t>Brun</t>
  </si>
  <si>
    <t xml:space="preserve">15' End - 6 x 1km                               R = 2' E1 </t>
  </si>
  <si>
    <t xml:space="preserve">15' End - 5 x 1km                               R = 2' E1 </t>
  </si>
  <si>
    <t xml:space="preserve">15' END - 1km &amp; 2 x 3 km                R = 2' E1 </t>
  </si>
  <si>
    <t xml:space="preserve">Echff -10' End -1km &amp; 5km              R = 2' E1 </t>
  </si>
  <si>
    <t xml:space="preserve">Echff - 15' END - 4 x 3' &amp;                  1 x 1km  R = 2' E1- </t>
  </si>
  <si>
    <t xml:space="preserve">15'End -2 x (1'/ 2'/ 3'/ 2'/ 1')             r = 2'E1- R 3'           </t>
  </si>
  <si>
    <t>20' END- 6 x 3x 200m                       r =100m E1- Repos = 2'</t>
  </si>
  <si>
    <t>40' ENDURANCE-1000m spec-     r = 2' - 10' END</t>
  </si>
  <si>
    <t>20' END-  5x                            (400m/200m/400m)                           r =100mE1 - Repos = 2'</t>
  </si>
  <si>
    <t>20' END- 3 x (900m/900m)              r = 100mE1 - Repos = 2'</t>
  </si>
  <si>
    <t>20'ECH +                                            5 x ( 2 x 300M / r = 1'50")                   RECUP = 3' 00"</t>
  </si>
  <si>
    <t xml:space="preserve">Echff - 2 x (1'/ 2'/ 3'/ 4') r = 2'E1-    R 3'  </t>
  </si>
  <si>
    <t>E1</t>
  </si>
  <si>
    <t>E2</t>
  </si>
  <si>
    <t>Endurance active : vitesse modérée utilisée pour les sorties longues. Moins de 75% de la VMA.</t>
  </si>
  <si>
    <t>E3</t>
  </si>
  <si>
    <t>Endurance rapide : vitesse plus rapide et proche de celle qui peut être maintenue sur un 10km. Moins de 85% de VMA.</t>
  </si>
  <si>
    <t>*</t>
  </si>
  <si>
    <t xml:space="preserve">45' ENDURANCE </t>
  </si>
  <si>
    <r>
      <t xml:space="preserve">L'utilisation du programme commence par le </t>
    </r>
    <r>
      <rPr>
        <sz val="12"/>
        <color rgb="FFFF0000"/>
        <rFont val="Arial"/>
        <family val="2"/>
      </rPr>
      <t>feuillet Etalonnage</t>
    </r>
  </si>
  <si>
    <r>
      <t>Iindiquez le résultat de votre test en case</t>
    </r>
    <r>
      <rPr>
        <b/>
        <sz val="8"/>
        <rFont val="Verdana"/>
        <family val="2"/>
      </rPr>
      <t xml:space="preserve"> B9 </t>
    </r>
    <r>
      <rPr>
        <sz val="8"/>
        <rFont val="Verdana"/>
        <family val="2"/>
      </rPr>
      <t>!</t>
    </r>
  </si>
  <si>
    <r>
      <t xml:space="preserve">Si vous avez effectué le test en portant un capteur de puissance = </t>
    </r>
    <r>
      <rPr>
        <b/>
        <sz val="8"/>
        <rFont val="Verdana"/>
        <family val="2"/>
      </rPr>
      <t>CP</t>
    </r>
  </si>
  <si>
    <r>
      <t>RESULTAT CP :</t>
    </r>
    <r>
      <rPr>
        <sz val="8"/>
        <rFont val="Verdana"/>
        <family val="2"/>
      </rPr>
      <t xml:space="preserve"> Reportez le résultat case </t>
    </r>
    <r>
      <rPr>
        <b/>
        <sz val="8"/>
        <rFont val="Verdana"/>
        <family val="2"/>
      </rPr>
      <t>C17</t>
    </r>
    <r>
      <rPr>
        <sz val="8"/>
        <rFont val="Verdana"/>
        <family val="2"/>
      </rPr>
      <t>.</t>
    </r>
  </si>
  <si>
    <t>REALISATION DU TEST CP (Encadré) :</t>
  </si>
  <si>
    <r>
      <t xml:space="preserve">Il s'agit de courir </t>
    </r>
    <r>
      <rPr>
        <b/>
        <sz val="8"/>
        <rFont val="Verdana"/>
        <family val="2"/>
      </rPr>
      <t>le plus vite possible</t>
    </r>
    <r>
      <rPr>
        <sz val="8"/>
        <rFont val="Verdana"/>
        <family val="2"/>
      </rPr>
      <t xml:space="preserve"> , </t>
    </r>
    <r>
      <rPr>
        <b/>
        <sz val="8"/>
        <rFont val="Verdana"/>
        <family val="2"/>
      </rPr>
      <t>à allure constante</t>
    </r>
    <r>
      <rPr>
        <sz val="8"/>
        <rFont val="Verdana"/>
        <family val="2"/>
      </rPr>
      <t xml:space="preserve"> puis en parcourant les 200 derniers mètres "à fond"</t>
    </r>
  </si>
  <si>
    <r>
      <t xml:space="preserve">Ces chiffres vous indiquent votre </t>
    </r>
    <r>
      <rPr>
        <b/>
        <sz val="8"/>
        <rFont val="Verdana"/>
        <family val="2"/>
      </rPr>
      <t>niveau actuel</t>
    </r>
    <r>
      <rPr>
        <sz val="8"/>
        <rFont val="Verdana"/>
        <family val="2"/>
      </rPr>
      <t>.</t>
    </r>
  </si>
  <si>
    <r>
      <t xml:space="preserve">Si vous connaissez déjà votre valeur de Cp, indiquez la valeur en case </t>
    </r>
    <r>
      <rPr>
        <b/>
        <sz val="8"/>
        <rFont val="Verdana"/>
        <family val="2"/>
      </rPr>
      <t>C16</t>
    </r>
  </si>
  <si>
    <t>Si vous souhaitez préparer un 42,195 km pour un résultat différent de ce</t>
  </si>
  <si>
    <r>
      <t>que prévoit le résultat du test, vous entrez le temps désiré case</t>
    </r>
    <r>
      <rPr>
        <b/>
        <sz val="8"/>
        <rFont val="Verdana"/>
        <family val="2"/>
      </rPr>
      <t xml:space="preserve"> E9.</t>
    </r>
  </si>
  <si>
    <r>
      <t>En plus rapide :</t>
    </r>
    <r>
      <rPr>
        <sz val="8"/>
        <rFont val="Verdana"/>
        <family val="2"/>
      </rPr>
      <t xml:space="preserve"> Attention, restez les pieds sur terre, il ne faut pas s'écarter trop largement du temps calculé  </t>
    </r>
  </si>
  <si>
    <r>
      <t xml:space="preserve">Insérez la date de l'épreuve en case </t>
    </r>
    <r>
      <rPr>
        <b/>
        <sz val="8"/>
        <rFont val="Arial"/>
        <family val="2"/>
      </rPr>
      <t>E10</t>
    </r>
  </si>
  <si>
    <r>
      <t xml:space="preserve">Après avoir réalisé le test sur 10km après 4 semaines d'entrainement, indiquez le résultat dans la case </t>
    </r>
    <r>
      <rPr>
        <b/>
        <sz val="8"/>
        <rFont val="Verdana"/>
        <family val="2"/>
      </rPr>
      <t>E15</t>
    </r>
  </si>
  <si>
    <t>Le plan vous propose alors 3 possibilités</t>
  </si>
  <si>
    <t>Un plan sur 6 séances hebdomadaires</t>
  </si>
  <si>
    <t xml:space="preserve">Il est nécessaire d'être à l'écoute de ses sensations. Si vous vous sentez fatigué, facilitez ou sautez une séance. </t>
  </si>
  <si>
    <r>
      <t xml:space="preserve">Les plans sont structurés sur </t>
    </r>
    <r>
      <rPr>
        <b/>
        <sz val="8"/>
        <rFont val="Verdana"/>
        <family val="2"/>
      </rPr>
      <t>3 périodes de 4 semaines :</t>
    </r>
  </si>
  <si>
    <r>
      <rPr>
        <b/>
        <sz val="8"/>
        <rFont val="Verdana"/>
        <family val="2"/>
      </rPr>
      <t>Compétitions de préparation :</t>
    </r>
    <r>
      <rPr>
        <sz val="8"/>
        <color rgb="FF333399"/>
        <rFont val="Verdana"/>
        <family val="2"/>
      </rPr>
      <t xml:space="preserve"> </t>
    </r>
    <r>
      <rPr>
        <sz val="8"/>
        <rFont val="Verdana"/>
        <family val="2"/>
      </rPr>
      <t>Débutez à l'allure spécifique de la préparation et tenez celle-ci jusqu'au moment ou il faudra bien lever un peu le pied.</t>
    </r>
  </si>
  <si>
    <r>
      <rPr>
        <b/>
        <sz val="8"/>
        <rFont val="Verdana"/>
        <family val="2"/>
      </rPr>
      <t>Composition d'une séance</t>
    </r>
    <r>
      <rPr>
        <sz val="8"/>
        <rFont val="Verdana"/>
        <family val="2"/>
      </rPr>
      <t xml:space="preserve"> : Chaque séance débute par un échauffement et se termine par un retour au calme !! </t>
    </r>
  </si>
  <si>
    <r>
      <rPr>
        <b/>
        <sz val="8"/>
        <rFont val="Verdana"/>
        <family val="2"/>
      </rPr>
      <t>La séance :</t>
    </r>
    <r>
      <rPr>
        <sz val="8"/>
        <rFont val="Verdana"/>
        <family val="2"/>
      </rPr>
      <t xml:space="preserve"> le type d' allure visé  détermine la couleur de la case ou se situe la séance, les détails se trouvent dans la case du jour</t>
    </r>
  </si>
  <si>
    <t>Rouge clair</t>
  </si>
  <si>
    <t>séance côtes</t>
  </si>
  <si>
    <t xml:space="preserve">Temps: exercices à +/- 120 % CP </t>
  </si>
  <si>
    <t>séance mixte sortie longue + allure "objectif"</t>
  </si>
  <si>
    <t>bloc compétition ou assimilé (terrien)</t>
  </si>
  <si>
    <t>bloc compétition ou assimilé (aérien)</t>
  </si>
  <si>
    <t>Endurance fondamentale : vitesse "lente" utilisée pour l'échauffement, le retour au calme et le repos actif. Moins de 65% de la VMA*.</t>
  </si>
  <si>
    <t>Votre valeur VMA est reprise dans l'onglet "Etalonnage" suite à votre test sur une distance entre 1500 et 2000 mètres.</t>
  </si>
  <si>
    <t>CP</t>
  </si>
  <si>
    <t>Critical Power cad le niveau de puissance ou de watt qui peut être maintenu durant 60 minutes (CP60)</t>
  </si>
  <si>
    <t>Vitesse spec.</t>
  </si>
  <si>
    <t>Vitesse spécifique (cible) = vitesse de l'objectif</t>
  </si>
  <si>
    <t>Temps et allure</t>
  </si>
  <si>
    <t xml:space="preserve">La colonne "temps et allure" indique une allure au km (ex : 04:22), mais parfois un temps comme dans les cases rouge (200m en 01:07). </t>
  </si>
  <si>
    <t xml:space="preserve">La colonne "watt" indique la puissance en watt à maintenir pendant l'effort. </t>
  </si>
  <si>
    <t xml:space="preserve">Il y a cependant une exception pour les entrainements "mixtes" (jaune/gris). </t>
  </si>
  <si>
    <t>La case indique alors le temps de l'endurance alors que la colonne "temps et allure" indique la vitesse de l'accélération (= objectif)</t>
  </si>
  <si>
    <t>Programme de planification d'entrainement pour 21,097 km</t>
  </si>
  <si>
    <t>Légende des abréviations</t>
  </si>
  <si>
    <t xml:space="preserve">Echff - 2 x (1'/ 2'/ 3'/ 2'/ 1')        r = 2'E1- R 3'           </t>
  </si>
  <si>
    <t>20' END- 4  x (400m/200m/300m)                 r =100mE1 - Repos = 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</si>
</sst>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d\.mm\.yy"/>
    <numFmt numFmtId="166" formatCode="0.000"/>
    <numFmt numFmtId="167" formatCode="mm:ss.00"/>
    <numFmt numFmtId="168" formatCode="[$-F400]h:mm:ss\ AM/PM"/>
    <numFmt numFmtId="169" formatCode="hh:mm:ss;@"/>
    <numFmt numFmtId="170" formatCode="h:mm:ss;@"/>
  </numFmts>
  <fonts count="87" x14ac:knownFonts="1">
    <font>
      <sz val="10"/>
      <name val="Arial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color indexed="8"/>
      <name val="Verdana"/>
      <family val="2"/>
    </font>
    <font>
      <sz val="12"/>
      <color indexed="8"/>
      <name val="Arial"/>
      <family val="2"/>
    </font>
    <font>
      <b/>
      <sz val="10.5"/>
      <name val="Arial"/>
      <family val="2"/>
    </font>
    <font>
      <sz val="8"/>
      <color indexed="8"/>
      <name val="Arial Narrow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sz val="10"/>
      <color indexed="62"/>
      <name val="Verdana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Verdan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23"/>
      <name val="Arial Narrow"/>
      <family val="2"/>
    </font>
    <font>
      <sz val="16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2"/>
      <color indexed="2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2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20"/>
      <name val="Times New Roman"/>
      <family val="1"/>
    </font>
    <font>
      <sz val="14"/>
      <color indexed="20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2"/>
      <name val="Arial Narrow"/>
      <family val="2"/>
    </font>
    <font>
      <b/>
      <u/>
      <sz val="14"/>
      <color indexed="20"/>
      <name val="Times New Roman"/>
      <family val="1"/>
    </font>
    <font>
      <sz val="14"/>
      <color indexed="8"/>
      <name val="Times New Roman"/>
      <family val="1"/>
    </font>
    <font>
      <b/>
      <sz val="13"/>
      <color indexed="62"/>
      <name val="Times New Roman"/>
      <family val="1"/>
    </font>
    <font>
      <b/>
      <u/>
      <sz val="16"/>
      <color indexed="20"/>
      <name val="Times New Roman"/>
      <family val="1"/>
    </font>
    <font>
      <sz val="16"/>
      <name val="Arial"/>
      <family val="2"/>
    </font>
    <font>
      <b/>
      <sz val="9"/>
      <color indexed="20"/>
      <name val="Arial Narrow"/>
      <family val="2"/>
    </font>
    <font>
      <sz val="10"/>
      <color indexed="18"/>
      <name val="Arial"/>
      <family val="2"/>
    </font>
    <font>
      <b/>
      <sz val="10"/>
      <color theme="1"/>
      <name val="Verdana"/>
      <family val="2"/>
    </font>
    <font>
      <sz val="10"/>
      <color rgb="FFFFFF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i/>
      <sz val="8"/>
      <color indexed="8"/>
      <name val="Arial Narrow"/>
      <family val="2"/>
    </font>
    <font>
      <b/>
      <sz val="8"/>
      <color indexed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 Narrow"/>
      <family val="2"/>
    </font>
    <font>
      <sz val="8"/>
      <color theme="1" tint="0.1499984740745262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indexed="9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8"/>
      <color indexed="53"/>
      <name val="Verdana"/>
      <family val="2"/>
    </font>
    <font>
      <b/>
      <sz val="8"/>
      <color indexed="53"/>
      <name val="Arial"/>
      <family val="2"/>
    </font>
    <font>
      <b/>
      <sz val="8"/>
      <color indexed="62"/>
      <name val="Verdana"/>
      <family val="2"/>
    </font>
    <font>
      <sz val="8"/>
      <color rgb="FF333399"/>
      <name val="Verdana"/>
      <family val="2"/>
    </font>
    <font>
      <sz val="10"/>
      <name val="Verdana"/>
      <family val="2"/>
    </font>
  </fonts>
  <fills count="57">
    <fill>
      <patternFill patternType="none"/>
    </fill>
    <fill>
      <patternFill patternType="gray125"/>
    </fill>
    <fill>
      <patternFill patternType="solid">
        <fgColor indexed="42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indexed="19"/>
        <bgColor indexed="18"/>
      </patternFill>
    </fill>
    <fill>
      <patternFill patternType="solid">
        <fgColor indexed="51"/>
        <bgColor indexed="17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15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40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52"/>
        <bgColor indexed="26"/>
      </patternFill>
    </fill>
    <fill>
      <patternFill patternType="solid">
        <fgColor indexed="18"/>
        <bgColor indexed="26"/>
      </patternFill>
    </fill>
    <fill>
      <patternFill patternType="solid">
        <fgColor indexed="17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18"/>
      </patternFill>
    </fill>
    <fill>
      <patternFill patternType="solid">
        <fgColor indexed="18"/>
        <bgColor indexed="18"/>
      </patternFill>
    </fill>
    <fill>
      <patternFill patternType="solid">
        <fgColor indexed="16"/>
        <bgColor indexed="13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theme="0"/>
        <bgColor indexed="1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DD71"/>
        <bgColor indexed="18"/>
      </patternFill>
    </fill>
    <fill>
      <patternFill patternType="solid">
        <fgColor rgb="FFFF8F8F"/>
        <bgColor indexed="23"/>
      </patternFill>
    </fill>
    <fill>
      <patternFill patternType="solid">
        <fgColor rgb="FFCCFFCC"/>
        <bgColor indexed="26"/>
      </patternFill>
    </fill>
    <fill>
      <patternFill patternType="solid">
        <fgColor rgb="FFFFDD71"/>
        <bgColor indexed="23"/>
      </patternFill>
    </fill>
    <fill>
      <patternFill patternType="solid">
        <fgColor rgb="FFFFFF00"/>
        <bgColor indexed="19"/>
      </patternFill>
    </fill>
    <fill>
      <patternFill patternType="solid">
        <fgColor rgb="FFFFD581"/>
        <bgColor indexed="18"/>
      </patternFill>
    </fill>
    <fill>
      <gradientFill degree="90">
        <stop position="0">
          <color theme="0" tint="-5.0965910824915313E-2"/>
        </stop>
        <stop position="1">
          <color rgb="FFFFFF00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FFF5D9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9ED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CE7FF"/>
        <bgColor indexed="64"/>
      </patternFill>
    </fill>
    <fill>
      <patternFill patternType="solid">
        <fgColor rgb="FFFFC000"/>
        <bgColor indexed="18"/>
      </patternFill>
    </fill>
    <fill>
      <patternFill patternType="solid">
        <fgColor rgb="FFF7994B"/>
        <bgColor indexed="64"/>
      </patternFill>
    </fill>
    <fill>
      <patternFill patternType="solid">
        <fgColor rgb="FFF7994B"/>
        <bgColor indexed="26"/>
      </patternFill>
    </fill>
    <fill>
      <patternFill patternType="solid">
        <fgColor rgb="FFF7994B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2">
    <xf numFmtId="0" fontId="0" fillId="0" borderId="0" xfId="0"/>
    <xf numFmtId="0" fontId="2" fillId="0" borderId="0" xfId="0" applyFont="1"/>
    <xf numFmtId="0" fontId="3" fillId="0" borderId="0" xfId="0" applyFont="1" applyBorder="1"/>
    <xf numFmtId="0" fontId="13" fillId="0" borderId="0" xfId="0" applyFont="1"/>
    <xf numFmtId="14" fontId="0" fillId="0" borderId="0" xfId="0" applyNumberFormat="1"/>
    <xf numFmtId="0" fontId="2" fillId="0" borderId="0" xfId="0" applyFont="1" applyBorder="1"/>
    <xf numFmtId="0" fontId="0" fillId="0" borderId="0" xfId="0" applyAlignment="1">
      <alignment horizontal="center" vertical="center" wrapText="1"/>
    </xf>
    <xf numFmtId="1" fontId="0" fillId="0" borderId="0" xfId="0" applyNumberForma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9" fontId="34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horizontal="right" wrapText="1"/>
    </xf>
    <xf numFmtId="1" fontId="37" fillId="4" borderId="5" xfId="0" applyNumberFormat="1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right" wrapText="1"/>
    </xf>
    <xf numFmtId="0" fontId="15" fillId="3" borderId="7" xfId="0" applyFont="1" applyFill="1" applyBorder="1" applyAlignment="1">
      <alignment horizontal="right" wrapText="1"/>
    </xf>
    <xf numFmtId="21" fontId="38" fillId="4" borderId="7" xfId="0" applyNumberFormat="1" applyFont="1" applyFill="1" applyBorder="1" applyAlignment="1" applyProtection="1">
      <alignment horizontal="center" vertical="center"/>
      <protection locked="0"/>
    </xf>
    <xf numFmtId="0" fontId="38" fillId="5" borderId="7" xfId="0" applyFont="1" applyFill="1" applyBorder="1" applyAlignment="1">
      <alignment horizontal="right" vertical="center"/>
    </xf>
    <xf numFmtId="49" fontId="38" fillId="5" borderId="7" xfId="0" applyNumberFormat="1" applyFont="1" applyFill="1" applyBorder="1" applyAlignment="1">
      <alignment horizontal="center" vertical="center"/>
    </xf>
    <xf numFmtId="1" fontId="38" fillId="5" borderId="7" xfId="0" applyNumberFormat="1" applyFont="1" applyFill="1" applyBorder="1" applyAlignment="1">
      <alignment horizontal="center" vertical="center"/>
    </xf>
    <xf numFmtId="2" fontId="38" fillId="5" borderId="7" xfId="0" applyNumberFormat="1" applyFont="1" applyFill="1" applyBorder="1" applyAlignment="1">
      <alignment horizontal="center" vertical="center"/>
    </xf>
    <xf numFmtId="2" fontId="4" fillId="5" borderId="7" xfId="0" applyNumberFormat="1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right" vertical="center"/>
    </xf>
    <xf numFmtId="164" fontId="38" fillId="5" borderId="8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wrapText="1"/>
    </xf>
    <xf numFmtId="21" fontId="38" fillId="6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 applyAlignment="1" applyProtection="1">
      <alignment horizontal="right" wrapText="1"/>
    </xf>
    <xf numFmtId="165" fontId="38" fillId="4" borderId="10" xfId="0" applyNumberFormat="1" applyFont="1" applyFill="1" applyBorder="1" applyAlignment="1" applyProtection="1">
      <alignment horizontal="center" vertical="center"/>
      <protection locked="0"/>
    </xf>
    <xf numFmtId="169" fontId="38" fillId="7" borderId="4" xfId="0" applyNumberFormat="1" applyFont="1" applyFill="1" applyBorder="1" applyAlignment="1" applyProtection="1">
      <alignment horizontal="center" vertical="center"/>
    </xf>
    <xf numFmtId="169" fontId="38" fillId="7" borderId="11" xfId="0" applyNumberFormat="1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>
      <alignment horizontal="right" wrapText="1"/>
    </xf>
    <xf numFmtId="0" fontId="15" fillId="7" borderId="12" xfId="0" applyFont="1" applyFill="1" applyBorder="1" applyAlignment="1">
      <alignment horizontal="right" wrapText="1"/>
    </xf>
    <xf numFmtId="0" fontId="15" fillId="7" borderId="13" xfId="0" applyFont="1" applyFill="1" applyBorder="1" applyAlignment="1">
      <alignment horizontal="right" wrapText="1"/>
    </xf>
    <xf numFmtId="1" fontId="38" fillId="5" borderId="14" xfId="0" applyNumberFormat="1" applyFont="1" applyFill="1" applyBorder="1" applyAlignment="1">
      <alignment horizontal="center" vertical="center"/>
    </xf>
    <xf numFmtId="0" fontId="38" fillId="4" borderId="5" xfId="0" applyFont="1" applyFill="1" applyBorder="1" applyAlignment="1" applyProtection="1">
      <alignment horizontal="center" vertical="center"/>
      <protection locked="0"/>
    </xf>
    <xf numFmtId="21" fontId="38" fillId="5" borderId="7" xfId="0" applyNumberFormat="1" applyFont="1" applyFill="1" applyBorder="1" applyAlignment="1">
      <alignment horizontal="center" vertical="center"/>
    </xf>
    <xf numFmtId="0" fontId="15" fillId="7" borderId="15" xfId="0" applyFont="1" applyFill="1" applyBorder="1" applyAlignment="1" applyProtection="1">
      <alignment horizontal="right" wrapText="1"/>
    </xf>
    <xf numFmtId="0" fontId="48" fillId="8" borderId="16" xfId="0" applyFont="1" applyFill="1" applyBorder="1" applyAlignment="1">
      <alignment horizontal="center"/>
    </xf>
    <xf numFmtId="0" fontId="49" fillId="9" borderId="17" xfId="0" applyFont="1" applyFill="1" applyBorder="1" applyAlignment="1">
      <alignment horizontal="center"/>
    </xf>
    <xf numFmtId="0" fontId="49" fillId="9" borderId="18" xfId="0" applyFont="1" applyFill="1" applyBorder="1" applyAlignment="1">
      <alignment horizontal="center"/>
    </xf>
    <xf numFmtId="0" fontId="49" fillId="9" borderId="19" xfId="0" applyFont="1" applyFill="1" applyBorder="1" applyAlignment="1">
      <alignment horizontal="center"/>
    </xf>
    <xf numFmtId="0" fontId="50" fillId="8" borderId="20" xfId="0" applyFont="1" applyFill="1" applyBorder="1" applyAlignment="1">
      <alignment horizontal="center"/>
    </xf>
    <xf numFmtId="0" fontId="50" fillId="8" borderId="7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50" fillId="8" borderId="23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2" fillId="10" borderId="24" xfId="0" applyFont="1" applyFill="1" applyBorder="1" applyAlignment="1">
      <alignment horizontal="right"/>
    </xf>
    <xf numFmtId="0" fontId="50" fillId="11" borderId="18" xfId="0" applyFont="1" applyFill="1" applyBorder="1" applyAlignment="1">
      <alignment horizontal="center"/>
    </xf>
    <xf numFmtId="0" fontId="49" fillId="10" borderId="19" xfId="0" applyFont="1" applyFill="1" applyBorder="1" applyAlignment="1">
      <alignment horizontal="center"/>
    </xf>
    <xf numFmtId="167" fontId="54" fillId="10" borderId="25" xfId="0" applyNumberFormat="1" applyFont="1" applyFill="1" applyBorder="1" applyAlignment="1" applyProtection="1">
      <alignment horizontal="center"/>
      <protection hidden="1"/>
    </xf>
    <xf numFmtId="167" fontId="54" fillId="10" borderId="26" xfId="0" applyNumberFormat="1" applyFont="1" applyFill="1" applyBorder="1" applyAlignment="1" applyProtection="1">
      <alignment horizontal="center"/>
      <protection hidden="1"/>
    </xf>
    <xf numFmtId="167" fontId="54" fillId="10" borderId="27" xfId="0" applyNumberFormat="1" applyFont="1" applyFill="1" applyBorder="1" applyAlignment="1" applyProtection="1">
      <alignment horizontal="center"/>
      <protection hidden="1"/>
    </xf>
    <xf numFmtId="167" fontId="54" fillId="10" borderId="28" xfId="0" applyNumberFormat="1" applyFont="1" applyFill="1" applyBorder="1" applyAlignment="1" applyProtection="1">
      <alignment horizontal="center"/>
      <protection hidden="1"/>
    </xf>
    <xf numFmtId="167" fontId="54" fillId="10" borderId="2" xfId="0" applyNumberFormat="1" applyFont="1" applyFill="1" applyBorder="1" applyAlignment="1" applyProtection="1">
      <alignment horizontal="center"/>
      <protection hidden="1"/>
    </xf>
    <xf numFmtId="167" fontId="54" fillId="10" borderId="29" xfId="0" applyNumberFormat="1" applyFont="1" applyFill="1" applyBorder="1" applyAlignment="1" applyProtection="1">
      <alignment horizontal="center"/>
      <protection hidden="1"/>
    </xf>
    <xf numFmtId="167" fontId="54" fillId="10" borderId="30" xfId="0" applyNumberFormat="1" applyFont="1" applyFill="1" applyBorder="1" applyAlignment="1" applyProtection="1">
      <alignment horizontal="center"/>
      <protection hidden="1"/>
    </xf>
    <xf numFmtId="167" fontId="54" fillId="10" borderId="31" xfId="0" applyNumberFormat="1" applyFont="1" applyFill="1" applyBorder="1" applyAlignment="1" applyProtection="1">
      <alignment horizontal="center"/>
      <protection hidden="1"/>
    </xf>
    <xf numFmtId="167" fontId="54" fillId="10" borderId="32" xfId="0" applyNumberFormat="1" applyFont="1" applyFill="1" applyBorder="1" applyAlignment="1" applyProtection="1">
      <alignment horizontal="center"/>
      <protection hidden="1"/>
    </xf>
    <xf numFmtId="0" fontId="55" fillId="10" borderId="24" xfId="0" applyFont="1" applyFill="1" applyBorder="1"/>
    <xf numFmtId="0" fontId="27" fillId="10" borderId="17" xfId="0" applyFont="1" applyFill="1" applyBorder="1" applyAlignment="1">
      <alignment horizontal="center"/>
    </xf>
    <xf numFmtId="0" fontId="48" fillId="4" borderId="33" xfId="0" applyFont="1" applyFill="1" applyBorder="1" applyAlignment="1" applyProtection="1">
      <alignment horizontal="center"/>
      <protection locked="0"/>
    </xf>
    <xf numFmtId="0" fontId="56" fillId="12" borderId="34" xfId="0" applyFont="1" applyFill="1" applyBorder="1" applyAlignment="1">
      <alignment horizontal="center"/>
    </xf>
    <xf numFmtId="0" fontId="53" fillId="13" borderId="18" xfId="0" applyFont="1" applyFill="1" applyBorder="1" applyAlignment="1" applyProtection="1">
      <alignment horizontal="center"/>
      <protection locked="0"/>
    </xf>
    <xf numFmtId="169" fontId="57" fillId="14" borderId="19" xfId="0" applyNumberFormat="1" applyFont="1" applyFill="1" applyBorder="1" applyAlignment="1" applyProtection="1">
      <alignment horizontal="center"/>
      <protection hidden="1"/>
    </xf>
    <xf numFmtId="0" fontId="56" fillId="15" borderId="0" xfId="0" applyFont="1" applyFill="1" applyBorder="1"/>
    <xf numFmtId="0" fontId="2" fillId="15" borderId="4" xfId="0" applyFont="1" applyFill="1" applyBorder="1"/>
    <xf numFmtId="0" fontId="56" fillId="15" borderId="15" xfId="0" applyFont="1" applyFill="1" applyBorder="1"/>
    <xf numFmtId="0" fontId="2" fillId="15" borderId="11" xfId="0" applyFont="1" applyFill="1" applyBorder="1"/>
    <xf numFmtId="0" fontId="27" fillId="10" borderId="35" xfId="0" applyFont="1" applyFill="1" applyBorder="1" applyAlignment="1">
      <alignment horizontal="center"/>
    </xf>
    <xf numFmtId="0" fontId="48" fillId="4" borderId="36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1" fontId="38" fillId="5" borderId="39" xfId="0" applyNumberFormat="1" applyFont="1" applyFill="1" applyBorder="1" applyAlignment="1">
      <alignment horizontal="center" vertical="center"/>
    </xf>
    <xf numFmtId="0" fontId="38" fillId="4" borderId="40" xfId="0" applyFont="1" applyFill="1" applyBorder="1" applyAlignment="1" applyProtection="1">
      <alignment horizontal="center" vertical="center"/>
      <protection locked="0"/>
    </xf>
    <xf numFmtId="1" fontId="38" fillId="5" borderId="41" xfId="0" applyNumberFormat="1" applyFont="1" applyFill="1" applyBorder="1" applyAlignment="1">
      <alignment horizontal="center" vertical="center"/>
    </xf>
    <xf numFmtId="0" fontId="44" fillId="17" borderId="11" xfId="0" applyFont="1" applyFill="1" applyBorder="1" applyAlignment="1" applyProtection="1">
      <alignment horizontal="right" wrapText="1"/>
    </xf>
    <xf numFmtId="169" fontId="42" fillId="18" borderId="42" xfId="0" applyNumberFormat="1" applyFont="1" applyFill="1" applyBorder="1" applyAlignment="1" applyProtection="1">
      <alignment horizontal="center" vertical="center"/>
    </xf>
    <xf numFmtId="0" fontId="15" fillId="7" borderId="6" xfId="0" applyFont="1" applyFill="1" applyBorder="1" applyAlignment="1" applyProtection="1">
      <alignment horizontal="right" wrapText="1"/>
    </xf>
    <xf numFmtId="45" fontId="38" fillId="5" borderId="5" xfId="0" applyNumberFormat="1" applyFont="1" applyFill="1" applyBorder="1" applyAlignment="1" applyProtection="1">
      <alignment horizontal="center" vertical="center"/>
    </xf>
    <xf numFmtId="0" fontId="15" fillId="7" borderId="9" xfId="0" applyFont="1" applyFill="1" applyBorder="1" applyAlignment="1" applyProtection="1">
      <alignment horizontal="right" wrapText="1"/>
    </xf>
    <xf numFmtId="0" fontId="15" fillId="7" borderId="43" xfId="0" applyFont="1" applyFill="1" applyBorder="1" applyAlignment="1" applyProtection="1">
      <alignment horizontal="right" wrapText="1"/>
    </xf>
    <xf numFmtId="0" fontId="15" fillId="7" borderId="3" xfId="0" applyFont="1" applyFill="1" applyBorder="1" applyAlignment="1" applyProtection="1">
      <alignment horizontal="right" wrapText="1"/>
    </xf>
    <xf numFmtId="45" fontId="38" fillId="5" borderId="10" xfId="0" applyNumberFormat="1" applyFont="1" applyFill="1" applyBorder="1" applyAlignment="1" applyProtection="1">
      <alignment horizontal="center" vertical="center"/>
    </xf>
    <xf numFmtId="0" fontId="0" fillId="7" borderId="4" xfId="0" applyFill="1" applyBorder="1"/>
    <xf numFmtId="49" fontId="38" fillId="19" borderId="4" xfId="0" applyNumberFormat="1" applyFont="1" applyFill="1" applyBorder="1" applyAlignment="1" applyProtection="1">
      <alignment horizontal="center" vertical="center"/>
    </xf>
    <xf numFmtId="21" fontId="38" fillId="19" borderId="11" xfId="0" applyNumberFormat="1" applyFont="1" applyFill="1" applyBorder="1" applyAlignment="1" applyProtection="1">
      <alignment horizontal="center" vertical="center"/>
    </xf>
    <xf numFmtId="0" fontId="28" fillId="0" borderId="0" xfId="0" applyFont="1"/>
    <xf numFmtId="0" fontId="3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8" fillId="0" borderId="1" xfId="0" applyFont="1" applyBorder="1" applyAlignment="1">
      <alignment horizontal="right" vertical="center" wrapText="1"/>
    </xf>
    <xf numFmtId="0" fontId="38" fillId="0" borderId="1" xfId="0" applyFont="1" applyBorder="1" applyAlignment="1">
      <alignment horizontal="right" vertical="center"/>
    </xf>
    <xf numFmtId="0" fontId="38" fillId="0" borderId="1" xfId="0" applyFont="1" applyBorder="1" applyAlignment="1">
      <alignment horizontal="right"/>
    </xf>
    <xf numFmtId="0" fontId="28" fillId="0" borderId="1" xfId="0" applyFont="1" applyBorder="1" applyAlignment="1">
      <alignment horizontal="right"/>
    </xf>
    <xf numFmtId="1" fontId="38" fillId="9" borderId="1" xfId="0" applyNumberFormat="1" applyFont="1" applyFill="1" applyBorder="1" applyAlignment="1">
      <alignment horizontal="center" vertical="center"/>
    </xf>
    <xf numFmtId="2" fontId="38" fillId="9" borderId="1" xfId="0" applyNumberFormat="1" applyFont="1" applyFill="1" applyBorder="1" applyAlignment="1">
      <alignment horizontal="center" vertical="center"/>
    </xf>
    <xf numFmtId="166" fontId="38" fillId="9" borderId="1" xfId="0" applyNumberFormat="1" applyFont="1" applyFill="1" applyBorder="1" applyAlignment="1">
      <alignment horizontal="center" vertical="center"/>
    </xf>
    <xf numFmtId="0" fontId="38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/>
    <xf numFmtId="21" fontId="38" fillId="9" borderId="1" xfId="0" applyNumberFormat="1" applyFont="1" applyFill="1" applyBorder="1" applyAlignment="1">
      <alignment horizontal="center" vertical="center" wrapText="1"/>
    </xf>
    <xf numFmtId="21" fontId="38" fillId="9" borderId="1" xfId="0" applyNumberFormat="1" applyFont="1" applyFill="1" applyBorder="1" applyAlignment="1">
      <alignment horizontal="center" vertical="center"/>
    </xf>
    <xf numFmtId="0" fontId="38" fillId="9" borderId="1" xfId="0" applyFont="1" applyFill="1" applyBorder="1"/>
    <xf numFmtId="0" fontId="38" fillId="9" borderId="1" xfId="0" applyFont="1" applyFill="1" applyBorder="1" applyAlignment="1">
      <alignment horizontal="center"/>
    </xf>
    <xf numFmtId="0" fontId="0" fillId="0" borderId="0" xfId="0" applyFill="1"/>
    <xf numFmtId="0" fontId="61" fillId="0" borderId="0" xfId="0" applyFont="1" applyFill="1"/>
    <xf numFmtId="0" fontId="38" fillId="5" borderId="7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1" fillId="7" borderId="4" xfId="0" applyFont="1" applyFill="1" applyBorder="1"/>
    <xf numFmtId="0" fontId="60" fillId="27" borderId="0" xfId="0" applyFont="1" applyFill="1" applyBorder="1" applyAlignment="1">
      <alignment horizontal="center" vertical="center" wrapText="1"/>
    </xf>
    <xf numFmtId="0" fontId="22" fillId="20" borderId="44" xfId="0" applyFont="1" applyFill="1" applyBorder="1" applyAlignment="1" applyProtection="1">
      <alignment horizontal="center" vertical="center"/>
    </xf>
    <xf numFmtId="0" fontId="0" fillId="29" borderId="0" xfId="0" applyFill="1" applyAlignment="1">
      <alignment horizontal="center" vertical="center" wrapText="1"/>
    </xf>
    <xf numFmtId="0" fontId="0" fillId="0" borderId="59" xfId="0" applyBorder="1"/>
    <xf numFmtId="0" fontId="24" fillId="28" borderId="1" xfId="0" applyFont="1" applyFill="1" applyBorder="1" applyAlignment="1">
      <alignment horizontal="center" vertical="center" wrapText="1"/>
    </xf>
    <xf numFmtId="1" fontId="3" fillId="5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" fontId="3" fillId="13" borderId="38" xfId="0" quotePrefix="1" applyNumberFormat="1" applyFont="1" applyFill="1" applyBorder="1" applyAlignment="1" applyProtection="1">
      <alignment horizontal="center" vertical="center"/>
      <protection locked="0"/>
    </xf>
    <xf numFmtId="1" fontId="3" fillId="9" borderId="1" xfId="0" applyNumberFormat="1" applyFont="1" applyFill="1" applyBorder="1" applyAlignment="1">
      <alignment horizontal="center" vertical="center"/>
    </xf>
    <xf numFmtId="21" fontId="3" fillId="4" borderId="5" xfId="0" applyNumberFormat="1" applyFont="1" applyFill="1" applyBorder="1" applyAlignment="1" applyProtection="1">
      <alignment horizontal="center" vertical="center"/>
      <protection locked="0"/>
    </xf>
    <xf numFmtId="45" fontId="24" fillId="39" borderId="1" xfId="0" applyNumberFormat="1" applyFont="1" applyFill="1" applyBorder="1" applyAlignment="1">
      <alignment horizontal="center" vertical="center" wrapText="1"/>
    </xf>
    <xf numFmtId="45" fontId="34" fillId="39" borderId="1" xfId="0" applyNumberFormat="1" applyFont="1" applyFill="1" applyBorder="1" applyAlignment="1">
      <alignment horizontal="center" vertical="center" wrapText="1"/>
    </xf>
    <xf numFmtId="0" fontId="38" fillId="47" borderId="1" xfId="0" applyFont="1" applyFill="1" applyBorder="1" applyAlignment="1">
      <alignment horizontal="right" vertical="center"/>
    </xf>
    <xf numFmtId="2" fontId="38" fillId="4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168" fontId="38" fillId="9" borderId="1" xfId="0" applyNumberFormat="1" applyFont="1" applyFill="1" applyBorder="1"/>
    <xf numFmtId="0" fontId="15" fillId="42" borderId="12" xfId="0" applyFont="1" applyFill="1" applyBorder="1" applyAlignment="1" applyProtection="1">
      <alignment horizontal="right" wrapText="1"/>
    </xf>
    <xf numFmtId="0" fontId="1" fillId="0" borderId="0" xfId="0" applyFont="1"/>
    <xf numFmtId="0" fontId="3" fillId="48" borderId="1" xfId="0" applyFont="1" applyFill="1" applyBorder="1" applyAlignment="1">
      <alignment horizontal="right" vertical="center"/>
    </xf>
    <xf numFmtId="1" fontId="3" fillId="48" borderId="1" xfId="0" applyNumberFormat="1" applyFont="1" applyFill="1" applyBorder="1" applyAlignment="1">
      <alignment horizontal="center" vertical="center"/>
    </xf>
    <xf numFmtId="0" fontId="3" fillId="45" borderId="1" xfId="0" applyFont="1" applyFill="1" applyBorder="1" applyAlignment="1">
      <alignment horizontal="right" vertical="center"/>
    </xf>
    <xf numFmtId="1" fontId="3" fillId="45" borderId="1" xfId="0" applyNumberFormat="1" applyFont="1" applyFill="1" applyBorder="1" applyAlignment="1">
      <alignment horizontal="center" vertical="center"/>
    </xf>
    <xf numFmtId="0" fontId="3" fillId="42" borderId="1" xfId="0" applyFont="1" applyFill="1" applyBorder="1" applyAlignment="1">
      <alignment horizontal="right" vertical="center"/>
    </xf>
    <xf numFmtId="1" fontId="3" fillId="42" borderId="1" xfId="0" applyNumberFormat="1" applyFont="1" applyFill="1" applyBorder="1" applyAlignment="1">
      <alignment horizontal="center" vertical="center"/>
    </xf>
    <xf numFmtId="0" fontId="3" fillId="49" borderId="1" xfId="0" applyFont="1" applyFill="1" applyBorder="1" applyAlignment="1">
      <alignment horizontal="right" vertical="center"/>
    </xf>
    <xf numFmtId="1" fontId="3" fillId="49" borderId="1" xfId="0" applyNumberFormat="1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right" vertical="center"/>
    </xf>
    <xf numFmtId="1" fontId="3" fillId="39" borderId="1" xfId="0" applyNumberFormat="1" applyFont="1" applyFill="1" applyBorder="1" applyAlignment="1">
      <alignment horizontal="center" vertical="center"/>
    </xf>
    <xf numFmtId="0" fontId="3" fillId="50" borderId="1" xfId="0" applyFont="1" applyFill="1" applyBorder="1" applyAlignment="1">
      <alignment horizontal="right" vertical="center"/>
    </xf>
    <xf numFmtId="1" fontId="3" fillId="50" borderId="1" xfId="0" applyNumberFormat="1" applyFont="1" applyFill="1" applyBorder="1" applyAlignment="1">
      <alignment horizontal="center" vertical="center"/>
    </xf>
    <xf numFmtId="1" fontId="38" fillId="51" borderId="14" xfId="0" applyNumberFormat="1" applyFont="1" applyFill="1" applyBorder="1" applyAlignment="1">
      <alignment horizontal="center" vertical="center"/>
    </xf>
    <xf numFmtId="1" fontId="42" fillId="18" borderId="4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right"/>
    </xf>
    <xf numFmtId="21" fontId="1" fillId="0" borderId="0" xfId="0" applyNumberFormat="1" applyFont="1"/>
    <xf numFmtId="0" fontId="70" fillId="40" borderId="1" xfId="0" applyFont="1" applyFill="1" applyBorder="1" applyAlignment="1">
      <alignment horizontal="center" vertical="center" wrapText="1"/>
    </xf>
    <xf numFmtId="0" fontId="71" fillId="40" borderId="1" xfId="0" applyFont="1" applyFill="1" applyBorder="1" applyAlignment="1">
      <alignment horizontal="center" vertical="center" wrapText="1"/>
    </xf>
    <xf numFmtId="1" fontId="71" fillId="40" borderId="1" xfId="0" applyNumberFormat="1" applyFont="1" applyFill="1" applyBorder="1" applyAlignment="1">
      <alignment horizontal="center" vertical="center" wrapText="1"/>
    </xf>
    <xf numFmtId="0" fontId="72" fillId="0" borderId="0" xfId="0" applyFont="1"/>
    <xf numFmtId="0" fontId="73" fillId="30" borderId="1" xfId="0" applyFont="1" applyFill="1" applyBorder="1" applyAlignment="1">
      <alignment horizontal="center" vertical="center" wrapText="1"/>
    </xf>
    <xf numFmtId="45" fontId="24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32" borderId="1" xfId="0" applyFont="1" applyFill="1" applyBorder="1" applyAlignment="1">
      <alignment horizontal="center" vertical="center" wrapText="1"/>
    </xf>
    <xf numFmtId="0" fontId="24" fillId="53" borderId="1" xfId="2" applyFont="1" applyFill="1" applyBorder="1" applyAlignment="1">
      <alignment horizontal="center" vertical="center" wrapText="1"/>
    </xf>
    <xf numFmtId="45" fontId="74" fillId="52" borderId="1" xfId="0" applyNumberFormat="1" applyFont="1" applyFill="1" applyBorder="1" applyAlignment="1">
      <alignment horizontal="center" vertical="center" wrapText="1"/>
    </xf>
    <xf numFmtId="1" fontId="74" fillId="52" borderId="1" xfId="0" applyNumberFormat="1" applyFont="1" applyFill="1" applyBorder="1" applyAlignment="1">
      <alignment horizontal="center" vertical="center" wrapText="1"/>
    </xf>
    <xf numFmtId="0" fontId="24" fillId="36" borderId="1" xfId="0" applyFont="1" applyFill="1" applyBorder="1" applyAlignment="1">
      <alignment horizontal="center" vertical="center" wrapText="1"/>
    </xf>
    <xf numFmtId="0" fontId="75" fillId="33" borderId="1" xfId="0" applyFont="1" applyFill="1" applyBorder="1" applyAlignment="1">
      <alignment horizontal="center" vertical="center" wrapText="1"/>
    </xf>
    <xf numFmtId="0" fontId="74" fillId="53" borderId="1" xfId="0" applyFont="1" applyFill="1" applyBorder="1" applyAlignment="1">
      <alignment horizontal="center" vertical="center" wrapText="1"/>
    </xf>
    <xf numFmtId="45" fontId="76" fillId="52" borderId="1" xfId="0" applyNumberFormat="1" applyFont="1" applyFill="1" applyBorder="1" applyAlignment="1">
      <alignment horizontal="center" vertical="center" wrapText="1"/>
    </xf>
    <xf numFmtId="1" fontId="76" fillId="52" borderId="1" xfId="0" applyNumberFormat="1" applyFont="1" applyFill="1" applyBorder="1" applyAlignment="1">
      <alignment horizontal="center" vertical="center" wrapText="1"/>
    </xf>
    <xf numFmtId="0" fontId="24" fillId="31" borderId="1" xfId="0" applyFont="1" applyFill="1" applyBorder="1" applyAlignment="1">
      <alignment horizontal="center" vertical="center" wrapText="1"/>
    </xf>
    <xf numFmtId="1" fontId="68" fillId="0" borderId="1" xfId="0" applyNumberFormat="1" applyFont="1" applyBorder="1" applyAlignment="1">
      <alignment horizontal="center" vertical="center" wrapText="1"/>
    </xf>
    <xf numFmtId="0" fontId="74" fillId="54" borderId="1" xfId="0" applyFont="1" applyFill="1" applyBorder="1" applyAlignment="1">
      <alignment horizontal="center" vertical="center" wrapText="1"/>
    </xf>
    <xf numFmtId="170" fontId="76" fillId="52" borderId="1" xfId="0" applyNumberFormat="1" applyFont="1" applyFill="1" applyBorder="1" applyAlignment="1">
      <alignment horizontal="center" vertical="center" wrapText="1"/>
    </xf>
    <xf numFmtId="0" fontId="77" fillId="4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78" fillId="33" borderId="1" xfId="0" applyFont="1" applyFill="1" applyBorder="1" applyAlignment="1">
      <alignment horizontal="center" vertical="center" wrapText="1"/>
    </xf>
    <xf numFmtId="45" fontId="24" fillId="0" borderId="1" xfId="0" applyNumberFormat="1" applyFont="1" applyBorder="1" applyAlignment="1" applyProtection="1">
      <alignment horizontal="center" vertical="center" wrapText="1"/>
      <protection locked="0"/>
    </xf>
    <xf numFmtId="45" fontId="69" fillId="0" borderId="1" xfId="0" applyNumberFormat="1" applyFont="1" applyBorder="1" applyAlignment="1" applyProtection="1">
      <alignment horizontal="center" vertical="center" wrapText="1"/>
      <protection locked="0"/>
    </xf>
    <xf numFmtId="45" fontId="69" fillId="0" borderId="1" xfId="0" applyNumberFormat="1" applyFont="1" applyBorder="1" applyAlignment="1">
      <alignment horizontal="center" vertical="center" wrapText="1"/>
    </xf>
    <xf numFmtId="0" fontId="79" fillId="40" borderId="1" xfId="0" applyFont="1" applyFill="1" applyBorder="1" applyAlignment="1">
      <alignment horizontal="center" vertical="center" wrapText="1"/>
    </xf>
    <xf numFmtId="0" fontId="24" fillId="34" borderId="1" xfId="0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horizontal="center" vertical="center" wrapText="1"/>
    </xf>
    <xf numFmtId="0" fontId="78" fillId="37" borderId="1" xfId="0" applyFont="1" applyFill="1" applyBorder="1" applyAlignment="1">
      <alignment horizontal="center" vertical="center" wrapText="1"/>
    </xf>
    <xf numFmtId="0" fontId="78" fillId="35" borderId="1" xfId="0" applyFont="1" applyFill="1" applyBorder="1" applyAlignment="1">
      <alignment horizontal="center" vertical="center" wrapText="1"/>
    </xf>
    <xf numFmtId="0" fontId="24" fillId="38" borderId="1" xfId="0" applyFont="1" applyFill="1" applyBorder="1" applyAlignment="1">
      <alignment horizontal="center" vertical="center" wrapText="1"/>
    </xf>
    <xf numFmtId="0" fontId="33" fillId="0" borderId="1" xfId="0" applyFont="1" applyBorder="1"/>
    <xf numFmtId="1" fontId="33" fillId="0" borderId="1" xfId="0" applyNumberFormat="1" applyFont="1" applyBorder="1"/>
    <xf numFmtId="0" fontId="24" fillId="16" borderId="1" xfId="0" applyFont="1" applyFill="1" applyBorder="1" applyAlignment="1">
      <alignment horizontal="center" vertical="center" wrapText="1"/>
    </xf>
    <xf numFmtId="164" fontId="3" fillId="13" borderId="38" xfId="0" quotePrefix="1" applyNumberFormat="1" applyFont="1" applyFill="1" applyBorder="1" applyAlignment="1" applyProtection="1">
      <alignment horizontal="center" vertical="center"/>
      <protection locked="0"/>
    </xf>
    <xf numFmtId="0" fontId="19" fillId="0" borderId="64" xfId="0" applyFont="1" applyBorder="1"/>
    <xf numFmtId="0" fontId="20" fillId="0" borderId="65" xfId="0" applyFont="1" applyBorder="1"/>
    <xf numFmtId="0" fontId="18" fillId="0" borderId="64" xfId="0" applyFont="1" applyBorder="1"/>
    <xf numFmtId="0" fontId="19" fillId="0" borderId="0" xfId="0" applyFont="1"/>
    <xf numFmtId="0" fontId="19" fillId="0" borderId="65" xfId="0" applyFont="1" applyBorder="1"/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indent="3"/>
    </xf>
    <xf numFmtId="0" fontId="31" fillId="0" borderId="0" xfId="0" applyFont="1" applyAlignment="1">
      <alignment horizontal="left" vertical="center" indent="3"/>
    </xf>
    <xf numFmtId="0" fontId="32" fillId="0" borderId="0" xfId="0" applyFont="1" applyAlignment="1">
      <alignment horizontal="left" vertical="center" indent="2"/>
    </xf>
    <xf numFmtId="0" fontId="30" fillId="0" borderId="0" xfId="0" applyFont="1" applyAlignment="1">
      <alignment horizontal="left" vertical="center" indent="2"/>
    </xf>
    <xf numFmtId="1" fontId="21" fillId="41" borderId="1" xfId="0" applyNumberFormat="1" applyFont="1" applyFill="1" applyBorder="1" applyAlignment="1">
      <alignment vertical="center" wrapText="1"/>
    </xf>
    <xf numFmtId="0" fontId="16" fillId="43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horizontal="left" vertical="center"/>
    </xf>
    <xf numFmtId="1" fontId="29" fillId="0" borderId="0" xfId="0" applyNumberFormat="1" applyFont="1" applyAlignment="1">
      <alignment horizontal="left" vertical="center" indent="3"/>
    </xf>
    <xf numFmtId="1" fontId="29" fillId="0" borderId="0" xfId="0" applyNumberFormat="1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18" fillId="0" borderId="61" xfId="0" applyFont="1" applyBorder="1"/>
    <xf numFmtId="0" fontId="19" fillId="0" borderId="62" xfId="0" applyFont="1" applyBorder="1"/>
    <xf numFmtId="0" fontId="13" fillId="0" borderId="62" xfId="0" applyFont="1" applyBorder="1"/>
    <xf numFmtId="0" fontId="13" fillId="0" borderId="63" xfId="0" applyFont="1" applyBorder="1"/>
    <xf numFmtId="0" fontId="13" fillId="0" borderId="65" xfId="0" applyFont="1" applyBorder="1"/>
    <xf numFmtId="0" fontId="0" fillId="0" borderId="65" xfId="0" applyBorder="1"/>
    <xf numFmtId="0" fontId="18" fillId="0" borderId="66" xfId="0" applyFont="1" applyBorder="1"/>
    <xf numFmtId="0" fontId="19" fillId="0" borderId="67" xfId="0" applyFont="1" applyBorder="1"/>
    <xf numFmtId="0" fontId="0" fillId="0" borderId="67" xfId="0" applyBorder="1"/>
    <xf numFmtId="0" fontId="0" fillId="0" borderId="68" xfId="0" applyBorder="1"/>
    <xf numFmtId="0" fontId="19" fillId="0" borderId="64" xfId="0" applyFont="1" applyBorder="1"/>
    <xf numFmtId="0" fontId="20" fillId="0" borderId="0" xfId="0" applyFont="1"/>
    <xf numFmtId="0" fontId="20" fillId="0" borderId="65" xfId="0" applyFont="1" applyBorder="1"/>
    <xf numFmtId="0" fontId="80" fillId="0" borderId="37" xfId="0" applyFont="1" applyBorder="1" applyAlignment="1">
      <alignment horizontal="center" wrapText="1"/>
    </xf>
    <xf numFmtId="0" fontId="36" fillId="0" borderId="39" xfId="0" applyFont="1" applyBorder="1" applyAlignment="1">
      <alignment horizontal="center" wrapText="1"/>
    </xf>
    <xf numFmtId="0" fontId="36" fillId="0" borderId="46" xfId="0" applyFont="1" applyBorder="1" applyAlignment="1">
      <alignment horizontal="center" wrapText="1"/>
    </xf>
    <xf numFmtId="0" fontId="19" fillId="0" borderId="61" xfId="0" applyFont="1" applyBorder="1"/>
    <xf numFmtId="0" fontId="20" fillId="0" borderId="62" xfId="0" applyFont="1" applyBorder="1"/>
    <xf numFmtId="0" fontId="20" fillId="0" borderId="63" xfId="0" applyFont="1" applyBorder="1"/>
    <xf numFmtId="0" fontId="47" fillId="49" borderId="37" xfId="0" applyFont="1" applyFill="1" applyBorder="1" applyAlignment="1">
      <alignment horizontal="center" wrapText="1"/>
    </xf>
    <xf numFmtId="0" fontId="47" fillId="49" borderId="39" xfId="0" applyFont="1" applyFill="1" applyBorder="1" applyAlignment="1">
      <alignment horizontal="center" wrapText="1"/>
    </xf>
    <xf numFmtId="0" fontId="47" fillId="49" borderId="46" xfId="0" applyFont="1" applyFill="1" applyBorder="1" applyAlignment="1">
      <alignment horizontal="center" wrapText="1"/>
    </xf>
    <xf numFmtId="0" fontId="18" fillId="0" borderId="64" xfId="0" applyFont="1" applyBorder="1"/>
    <xf numFmtId="0" fontId="72" fillId="0" borderId="0" xfId="0" applyFont="1"/>
    <xf numFmtId="0" fontId="72" fillId="0" borderId="65" xfId="0" applyFont="1" applyBorder="1"/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12" borderId="0" xfId="0" applyFont="1" applyFill="1" applyAlignment="1">
      <alignment horizontal="center" wrapText="1"/>
    </xf>
    <xf numFmtId="0" fontId="0" fillId="12" borderId="0" xfId="0" applyFill="1" applyAlignment="1">
      <alignment horizontal="center"/>
    </xf>
    <xf numFmtId="1" fontId="86" fillId="23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65" xfId="0" applyFont="1" applyBorder="1"/>
    <xf numFmtId="0" fontId="1" fillId="0" borderId="61" xfId="1" applyFont="1" applyBorder="1" applyAlignment="1" applyProtection="1">
      <alignment horizontal="center" wrapText="1"/>
    </xf>
    <xf numFmtId="0" fontId="1" fillId="0" borderId="62" xfId="1" applyFont="1" applyBorder="1" applyAlignment="1" applyProtection="1">
      <alignment horizontal="center" wrapText="1"/>
    </xf>
    <xf numFmtId="0" fontId="1" fillId="0" borderId="63" xfId="1" applyFont="1" applyBorder="1" applyAlignment="1" applyProtection="1">
      <alignment horizontal="center" wrapText="1"/>
    </xf>
    <xf numFmtId="0" fontId="18" fillId="0" borderId="0" xfId="0" applyFont="1"/>
    <xf numFmtId="0" fontId="18" fillId="0" borderId="65" xfId="0" applyFont="1" applyBorder="1"/>
    <xf numFmtId="0" fontId="84" fillId="0" borderId="64" xfId="0" applyFont="1" applyBorder="1"/>
    <xf numFmtId="0" fontId="82" fillId="0" borderId="61" xfId="0" applyFont="1" applyBorder="1" applyAlignment="1">
      <alignment horizontal="center"/>
    </xf>
    <xf numFmtId="0" fontId="83" fillId="0" borderId="62" xfId="0" applyFont="1" applyBorder="1" applyAlignment="1">
      <alignment horizontal="center"/>
    </xf>
    <xf numFmtId="0" fontId="83" fillId="0" borderId="63" xfId="0" applyFont="1" applyBorder="1" applyAlignment="1">
      <alignment horizontal="center"/>
    </xf>
    <xf numFmtId="0" fontId="47" fillId="22" borderId="37" xfId="0" applyFont="1" applyFill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1" fillId="0" borderId="66" xfId="1" applyFont="1" applyBorder="1" applyAlignment="1" applyProtection="1">
      <alignment horizontal="center" wrapText="1"/>
    </xf>
    <xf numFmtId="0" fontId="1" fillId="0" borderId="67" xfId="1" applyFont="1" applyBorder="1" applyAlignment="1" applyProtection="1">
      <alignment horizontal="center" wrapText="1"/>
    </xf>
    <xf numFmtId="0" fontId="1" fillId="0" borderId="68" xfId="1" applyFont="1" applyBorder="1" applyAlignment="1" applyProtection="1">
      <alignment horizontal="center" wrapText="1"/>
    </xf>
    <xf numFmtId="0" fontId="19" fillId="0" borderId="66" xfId="0" applyFont="1" applyBorder="1"/>
    <xf numFmtId="0" fontId="20" fillId="0" borderId="67" xfId="0" applyFont="1" applyBorder="1"/>
    <xf numFmtId="0" fontId="20" fillId="0" borderId="68" xfId="0" applyFont="1" applyBorder="1"/>
    <xf numFmtId="0" fontId="1" fillId="0" borderId="64" xfId="1" applyFont="1" applyBorder="1" applyAlignment="1" applyProtection="1">
      <alignment horizontal="center" wrapText="1"/>
    </xf>
    <xf numFmtId="0" fontId="1" fillId="0" borderId="0" xfId="1" applyFont="1" applyBorder="1" applyAlignment="1" applyProtection="1">
      <alignment horizontal="center" wrapText="1"/>
    </xf>
    <xf numFmtId="0" fontId="1" fillId="0" borderId="65" xfId="1" applyFont="1" applyBorder="1" applyAlignment="1" applyProtection="1">
      <alignment horizontal="center" wrapText="1"/>
    </xf>
    <xf numFmtId="0" fontId="47" fillId="22" borderId="37" xfId="0" applyFont="1" applyFill="1" applyBorder="1" applyAlignment="1">
      <alignment horizontal="center" wrapText="1"/>
    </xf>
    <xf numFmtId="0" fontId="47" fillId="22" borderId="39" xfId="0" applyFont="1" applyFill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47" fillId="0" borderId="46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16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66" xfId="0" applyFont="1" applyBorder="1"/>
    <xf numFmtId="0" fontId="19" fillId="0" borderId="67" xfId="0" applyFont="1" applyBorder="1"/>
    <xf numFmtId="0" fontId="19" fillId="0" borderId="68" xfId="0" applyFont="1" applyBorder="1"/>
    <xf numFmtId="0" fontId="46" fillId="22" borderId="69" xfId="0" applyFont="1" applyFill="1" applyBorder="1" applyAlignment="1">
      <alignment horizontal="center" wrapText="1"/>
    </xf>
    <xf numFmtId="0" fontId="40" fillId="0" borderId="69" xfId="0" applyFont="1" applyBorder="1" applyAlignment="1">
      <alignment horizontal="center" wrapText="1"/>
    </xf>
    <xf numFmtId="0" fontId="32" fillId="0" borderId="0" xfId="0" applyFont="1" applyAlignment="1">
      <alignment horizontal="left" vertical="center" indent="2"/>
    </xf>
    <xf numFmtId="0" fontId="30" fillId="0" borderId="0" xfId="0" applyFont="1" applyAlignment="1">
      <alignment horizontal="left" vertical="center" indent="2"/>
    </xf>
    <xf numFmtId="0" fontId="16" fillId="55" borderId="1" xfId="0" applyFont="1" applyFill="1" applyBorder="1" applyAlignment="1">
      <alignment horizontal="center" vertical="center"/>
    </xf>
    <xf numFmtId="0" fontId="0" fillId="55" borderId="1" xfId="0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0" fontId="26" fillId="9" borderId="1" xfId="0" applyFont="1" applyFill="1" applyBorder="1" applyAlignment="1">
      <alignment horizontal="left" vertical="center"/>
    </xf>
    <xf numFmtId="0" fontId="86" fillId="9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center" indent="3"/>
    </xf>
    <xf numFmtId="0" fontId="31" fillId="0" borderId="0" xfId="0" applyFont="1" applyAlignment="1">
      <alignment horizontal="left" vertical="center" indent="3"/>
    </xf>
    <xf numFmtId="0" fontId="16" fillId="44" borderId="1" xfId="0" applyFont="1" applyFill="1" applyBorder="1" applyAlignment="1">
      <alignment horizontal="center" vertical="center"/>
    </xf>
    <xf numFmtId="0" fontId="1" fillId="44" borderId="1" xfId="0" applyFont="1" applyFill="1" applyBorder="1" applyAlignment="1">
      <alignment horizontal="center" vertical="center"/>
    </xf>
    <xf numFmtId="0" fontId="86" fillId="9" borderId="1" xfId="0" applyFont="1" applyFill="1" applyBorder="1" applyAlignment="1">
      <alignment horizontal="left" vertical="center" indent="2"/>
    </xf>
    <xf numFmtId="0" fontId="1" fillId="9" borderId="1" xfId="0" applyFont="1" applyFill="1" applyBorder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16" fillId="45" borderId="1" xfId="0" applyFont="1" applyFill="1" applyBorder="1" applyAlignment="1">
      <alignment horizontal="center" vertical="center"/>
    </xf>
    <xf numFmtId="0" fontId="0" fillId="45" borderId="1" xfId="0" applyFill="1" applyBorder="1" applyAlignment="1">
      <alignment horizontal="center" vertical="center"/>
    </xf>
    <xf numFmtId="1" fontId="32" fillId="0" borderId="0" xfId="0" applyNumberFormat="1" applyFont="1" applyAlignment="1">
      <alignment horizontal="center" vertical="center" wrapText="1"/>
    </xf>
    <xf numFmtId="0" fontId="16" fillId="43" borderId="1" xfId="0" applyFont="1" applyFill="1" applyBorder="1" applyAlignment="1">
      <alignment horizontal="center" vertical="center"/>
    </xf>
    <xf numFmtId="0" fontId="0" fillId="43" borderId="1" xfId="0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 wrapText="1"/>
    </xf>
    <xf numFmtId="1" fontId="16" fillId="23" borderId="1" xfId="0" applyNumberFormat="1" applyFont="1" applyFill="1" applyBorder="1" applyAlignment="1">
      <alignment horizontal="left" vertical="center" wrapText="1"/>
    </xf>
    <xf numFmtId="1" fontId="21" fillId="41" borderId="1" xfId="0" applyNumberFormat="1" applyFont="1" applyFill="1" applyBorder="1" applyAlignment="1">
      <alignment horizontal="center" vertical="center" wrapText="1"/>
    </xf>
    <xf numFmtId="0" fontId="0" fillId="42" borderId="1" xfId="0" applyFill="1" applyBorder="1" applyAlignment="1">
      <alignment horizontal="center" vertical="center" wrapText="1"/>
    </xf>
    <xf numFmtId="1" fontId="86" fillId="23" borderId="1" xfId="0" applyNumberFormat="1" applyFont="1" applyFill="1" applyBorder="1" applyAlignment="1">
      <alignment horizontal="left" vertical="center" wrapText="1" indent="2"/>
    </xf>
    <xf numFmtId="0" fontId="16" fillId="21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6" fillId="22" borderId="1" xfId="0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86" fillId="9" borderId="39" xfId="0" applyFont="1" applyFill="1" applyBorder="1" applyAlignment="1">
      <alignment horizontal="left" vertical="center" indent="2"/>
    </xf>
    <xf numFmtId="0" fontId="86" fillId="9" borderId="14" xfId="0" applyFont="1" applyFill="1" applyBorder="1" applyAlignment="1">
      <alignment horizontal="left" vertical="center" indent="2"/>
    </xf>
    <xf numFmtId="0" fontId="16" fillId="9" borderId="39" xfId="0" applyFont="1" applyFill="1" applyBorder="1" applyAlignment="1">
      <alignment horizontal="left" vertical="center"/>
    </xf>
    <xf numFmtId="0" fontId="16" fillId="9" borderId="14" xfId="0" applyFont="1" applyFill="1" applyBorder="1" applyAlignment="1">
      <alignment horizontal="left" vertical="center"/>
    </xf>
    <xf numFmtId="0" fontId="16" fillId="56" borderId="1" xfId="2" applyFont="1" applyFill="1" applyBorder="1" applyAlignment="1">
      <alignment horizontal="center" vertical="center" wrapText="1"/>
    </xf>
    <xf numFmtId="0" fontId="62" fillId="52" borderId="1" xfId="0" applyFont="1" applyFill="1" applyBorder="1" applyAlignment="1">
      <alignment horizontal="center" vertical="center"/>
    </xf>
    <xf numFmtId="0" fontId="63" fillId="52" borderId="1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right" wrapText="1"/>
    </xf>
    <xf numFmtId="0" fontId="15" fillId="7" borderId="52" xfId="0" applyFont="1" applyFill="1" applyBorder="1" applyAlignment="1">
      <alignment horizontal="right" wrapText="1"/>
    </xf>
    <xf numFmtId="0" fontId="15" fillId="3" borderId="43" xfId="0" applyFont="1" applyFill="1" applyBorder="1" applyAlignment="1">
      <alignment horizontal="right" wrapText="1"/>
    </xf>
    <xf numFmtId="0" fontId="15" fillId="3" borderId="60" xfId="0" applyFont="1" applyFill="1" applyBorder="1" applyAlignment="1">
      <alignment horizontal="right" wrapText="1"/>
    </xf>
    <xf numFmtId="0" fontId="15" fillId="3" borderId="6" xfId="0" applyFont="1" applyFill="1" applyBorder="1" applyAlignment="1">
      <alignment horizontal="right" wrapText="1"/>
    </xf>
    <xf numFmtId="0" fontId="15" fillId="3" borderId="45" xfId="0" applyFont="1" applyFill="1" applyBorder="1" applyAlignment="1">
      <alignment horizontal="right" wrapText="1"/>
    </xf>
    <xf numFmtId="0" fontId="39" fillId="12" borderId="24" xfId="0" applyFont="1" applyFill="1" applyBorder="1" applyAlignment="1" applyProtection="1">
      <alignment horizontal="center" wrapText="1"/>
    </xf>
    <xf numFmtId="0" fontId="39" fillId="12" borderId="48" xfId="0" applyFont="1" applyFill="1" applyBorder="1" applyAlignment="1" applyProtection="1">
      <alignment horizontal="center" wrapText="1"/>
    </xf>
    <xf numFmtId="0" fontId="40" fillId="12" borderId="48" xfId="0" applyFont="1" applyFill="1" applyBorder="1" applyAlignment="1" applyProtection="1">
      <alignment horizontal="center" wrapText="1"/>
    </xf>
    <xf numFmtId="0" fontId="40" fillId="12" borderId="34" xfId="0" applyFont="1" applyFill="1" applyBorder="1" applyAlignment="1" applyProtection="1">
      <alignment horizontal="center" wrapText="1"/>
    </xf>
    <xf numFmtId="0" fontId="45" fillId="7" borderId="24" xfId="0" applyFont="1" applyFill="1" applyBorder="1" applyAlignment="1" applyProtection="1">
      <alignment horizontal="center" wrapText="1"/>
    </xf>
    <xf numFmtId="0" fontId="45" fillId="7" borderId="34" xfId="0" applyFont="1" applyFill="1" applyBorder="1" applyAlignment="1" applyProtection="1">
      <alignment horizontal="center" wrapText="1"/>
    </xf>
    <xf numFmtId="0" fontId="41" fillId="7" borderId="24" xfId="0" applyFont="1" applyFill="1" applyBorder="1" applyAlignment="1" applyProtection="1">
      <alignment horizontal="center" wrapText="1"/>
    </xf>
    <xf numFmtId="0" fontId="41" fillId="7" borderId="34" xfId="0" applyFont="1" applyFill="1" applyBorder="1" applyAlignment="1" applyProtection="1">
      <alignment horizontal="center" wrapText="1"/>
    </xf>
    <xf numFmtId="0" fontId="38" fillId="24" borderId="49" xfId="0" applyFont="1" applyFill="1" applyBorder="1" applyAlignment="1" applyProtection="1">
      <alignment horizontal="fill"/>
    </xf>
    <xf numFmtId="0" fontId="28" fillId="3" borderId="3" xfId="0" applyFont="1" applyFill="1" applyBorder="1" applyAlignment="1" applyProtection="1"/>
    <xf numFmtId="0" fontId="28" fillId="3" borderId="43" xfId="0" applyFont="1" applyFill="1" applyBorder="1" applyAlignment="1" applyProtection="1"/>
    <xf numFmtId="0" fontId="44" fillId="17" borderId="24" xfId="0" applyFont="1" applyFill="1" applyBorder="1" applyAlignment="1" applyProtection="1">
      <alignment horizontal="center" wrapText="1"/>
    </xf>
    <xf numFmtId="0" fontId="43" fillId="17" borderId="34" xfId="0" applyFont="1" applyFill="1" applyBorder="1" applyAlignment="1">
      <alignment horizontal="center" wrapText="1"/>
    </xf>
    <xf numFmtId="0" fontId="15" fillId="7" borderId="9" xfId="0" applyFont="1" applyFill="1" applyBorder="1" applyAlignment="1" applyProtection="1">
      <alignment horizontal="left" vertical="top" wrapText="1"/>
    </xf>
    <xf numFmtId="0" fontId="15" fillId="7" borderId="3" xfId="0" applyFont="1" applyFill="1" applyBorder="1" applyAlignment="1" applyProtection="1">
      <alignment horizontal="left" vertical="top" wrapText="1"/>
    </xf>
    <xf numFmtId="0" fontId="15" fillId="7" borderId="24" xfId="0" applyFont="1" applyFill="1" applyBorder="1" applyAlignment="1">
      <alignment horizontal="left" wrapText="1" indent="2"/>
    </xf>
    <xf numFmtId="0" fontId="15" fillId="7" borderId="52" xfId="0" applyFont="1" applyFill="1" applyBorder="1" applyAlignment="1">
      <alignment horizontal="left" wrapText="1" indent="2"/>
    </xf>
    <xf numFmtId="0" fontId="25" fillId="5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0" fontId="3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16" fillId="44" borderId="12" xfId="0" applyFont="1" applyFill="1" applyBorder="1" applyAlignment="1">
      <alignment horizontal="center" vertical="center"/>
    </xf>
    <xf numFmtId="0" fontId="28" fillId="44" borderId="14" xfId="0" applyFont="1" applyFill="1" applyBorder="1" applyAlignment="1">
      <alignment horizontal="center" vertical="center"/>
    </xf>
    <xf numFmtId="0" fontId="29" fillId="9" borderId="39" xfId="0" applyFont="1" applyFill="1" applyBorder="1" applyAlignment="1">
      <alignment horizontal="left" vertical="center" indent="3"/>
    </xf>
    <xf numFmtId="0" fontId="31" fillId="9" borderId="39" xfId="0" applyFont="1" applyFill="1" applyBorder="1" applyAlignment="1">
      <alignment horizontal="left" vertical="center" indent="3"/>
    </xf>
    <xf numFmtId="0" fontId="31" fillId="9" borderId="14" xfId="0" applyFont="1" applyFill="1" applyBorder="1" applyAlignment="1">
      <alignment horizontal="left" vertical="center" indent="3"/>
    </xf>
    <xf numFmtId="0" fontId="16" fillId="21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44" borderId="37" xfId="0" applyFont="1" applyFill="1" applyBorder="1" applyAlignment="1">
      <alignment horizontal="center" vertical="center"/>
    </xf>
    <xf numFmtId="0" fontId="16" fillId="44" borderId="46" xfId="0" applyFont="1" applyFill="1" applyBorder="1" applyAlignment="1">
      <alignment horizontal="center" vertical="center"/>
    </xf>
    <xf numFmtId="0" fontId="32" fillId="9" borderId="39" xfId="0" applyFont="1" applyFill="1" applyBorder="1" applyAlignment="1">
      <alignment horizontal="left" vertical="center" indent="2"/>
    </xf>
    <xf numFmtId="0" fontId="30" fillId="9" borderId="39" xfId="0" applyFont="1" applyFill="1" applyBorder="1" applyAlignment="1">
      <alignment horizontal="left" vertical="center" indent="2"/>
    </xf>
    <xf numFmtId="0" fontId="30" fillId="9" borderId="14" xfId="0" applyFont="1" applyFill="1" applyBorder="1" applyAlignment="1">
      <alignment horizontal="left" vertical="center" indent="2"/>
    </xf>
    <xf numFmtId="0" fontId="16" fillId="45" borderId="13" xfId="0" applyFont="1" applyFill="1" applyBorder="1" applyAlignment="1">
      <alignment horizontal="center" vertical="center"/>
    </xf>
    <xf numFmtId="0" fontId="0" fillId="45" borderId="50" xfId="0" applyFill="1" applyBorder="1" applyAlignment="1">
      <alignment horizontal="center" vertical="center"/>
    </xf>
    <xf numFmtId="0" fontId="29" fillId="9" borderId="47" xfId="0" applyFont="1" applyFill="1" applyBorder="1" applyAlignment="1">
      <alignment horizontal="left" vertical="center" indent="3"/>
    </xf>
    <xf numFmtId="0" fontId="31" fillId="9" borderId="47" xfId="0" applyFont="1" applyFill="1" applyBorder="1" applyAlignment="1">
      <alignment horizontal="left" vertical="center" indent="3"/>
    </xf>
    <xf numFmtId="0" fontId="31" fillId="9" borderId="50" xfId="0" applyFont="1" applyFill="1" applyBorder="1" applyAlignment="1">
      <alignment horizontal="left" vertical="center" indent="3"/>
    </xf>
    <xf numFmtId="0" fontId="32" fillId="9" borderId="47" xfId="0" applyFont="1" applyFill="1" applyBorder="1" applyAlignment="1">
      <alignment horizontal="left" vertical="center" indent="2"/>
    </xf>
    <xf numFmtId="0" fontId="30" fillId="9" borderId="47" xfId="0" applyFont="1" applyFill="1" applyBorder="1" applyAlignment="1">
      <alignment horizontal="left" vertical="center" indent="2"/>
    </xf>
    <xf numFmtId="0" fontId="30" fillId="9" borderId="50" xfId="0" applyFont="1" applyFill="1" applyBorder="1" applyAlignment="1">
      <alignment horizontal="left" vertical="center" indent="2"/>
    </xf>
    <xf numFmtId="1" fontId="21" fillId="41" borderId="12" xfId="0" applyNumberFormat="1" applyFont="1" applyFill="1" applyBorder="1" applyAlignment="1">
      <alignment horizontal="center" vertical="center" wrapText="1"/>
    </xf>
    <xf numFmtId="0" fontId="0" fillId="42" borderId="14" xfId="0" applyFill="1" applyBorder="1" applyAlignment="1">
      <alignment horizontal="center" vertical="center" wrapText="1"/>
    </xf>
    <xf numFmtId="1" fontId="29" fillId="23" borderId="0" xfId="0" applyNumberFormat="1" applyFont="1" applyFill="1" applyBorder="1" applyAlignment="1">
      <alignment horizontal="left" vertical="center" wrapText="1" indent="3"/>
    </xf>
    <xf numFmtId="1" fontId="29" fillId="23" borderId="4" xfId="0" applyNumberFormat="1" applyFont="1" applyFill="1" applyBorder="1" applyAlignment="1">
      <alignment horizontal="left" vertical="center" wrapText="1" indent="3"/>
    </xf>
    <xf numFmtId="1" fontId="32" fillId="23" borderId="0" xfId="0" applyNumberFormat="1" applyFont="1" applyFill="1" applyBorder="1" applyAlignment="1">
      <alignment horizontal="left" vertical="center" wrapText="1" indent="2"/>
    </xf>
    <xf numFmtId="1" fontId="32" fillId="23" borderId="4" xfId="0" applyNumberFormat="1" applyFont="1" applyFill="1" applyBorder="1" applyAlignment="1">
      <alignment horizontal="left" vertical="center" wrapText="1" indent="2"/>
    </xf>
    <xf numFmtId="0" fontId="16" fillId="43" borderId="12" xfId="0" applyFont="1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0" fontId="62" fillId="46" borderId="6" xfId="0" applyFont="1" applyFill="1" applyBorder="1" applyAlignment="1" applyProtection="1">
      <alignment horizontal="center" vertical="center"/>
    </xf>
    <xf numFmtId="0" fontId="63" fillId="46" borderId="51" xfId="0" applyFont="1" applyFill="1" applyBorder="1" applyAlignment="1">
      <alignment horizontal="center" vertical="center"/>
    </xf>
    <xf numFmtId="0" fontId="29" fillId="9" borderId="39" xfId="0" applyFont="1" applyFill="1" applyBorder="1" applyAlignment="1" applyProtection="1">
      <alignment horizontal="left" vertical="center" indent="3"/>
    </xf>
    <xf numFmtId="0" fontId="29" fillId="9" borderId="14" xfId="0" applyFont="1" applyFill="1" applyBorder="1" applyAlignment="1" applyProtection="1">
      <alignment horizontal="left" vertical="center" indent="3"/>
    </xf>
    <xf numFmtId="0" fontId="32" fillId="9" borderId="39" xfId="0" applyFont="1" applyFill="1" applyBorder="1" applyAlignment="1" applyProtection="1">
      <alignment horizontal="left" vertical="center" indent="2"/>
    </xf>
    <xf numFmtId="0" fontId="32" fillId="9" borderId="14" xfId="0" applyFont="1" applyFill="1" applyBorder="1" applyAlignment="1" applyProtection="1">
      <alignment horizontal="left" vertical="center" indent="2"/>
    </xf>
    <xf numFmtId="0" fontId="62" fillId="46" borderId="37" xfId="0" applyFont="1" applyFill="1" applyBorder="1" applyAlignment="1" applyProtection="1">
      <alignment horizontal="center" vertical="center"/>
    </xf>
    <xf numFmtId="0" fontId="62" fillId="46" borderId="46" xfId="0" applyFont="1" applyFill="1" applyBorder="1" applyAlignment="1" applyProtection="1">
      <alignment horizontal="center" vertical="center"/>
    </xf>
    <xf numFmtId="1" fontId="21" fillId="41" borderId="37" xfId="0" applyNumberFormat="1" applyFont="1" applyFill="1" applyBorder="1" applyAlignment="1">
      <alignment horizontal="center" vertical="center" wrapText="1"/>
    </xf>
    <xf numFmtId="1" fontId="21" fillId="41" borderId="46" xfId="0" applyNumberFormat="1" applyFont="1" applyFill="1" applyBorder="1" applyAlignment="1">
      <alignment horizontal="center" vertical="center" wrapText="1"/>
    </xf>
    <xf numFmtId="0" fontId="16" fillId="21" borderId="37" xfId="0" applyFont="1" applyFill="1" applyBorder="1" applyAlignment="1">
      <alignment horizontal="center" vertical="center"/>
    </xf>
    <xf numFmtId="0" fontId="16" fillId="21" borderId="46" xfId="0" applyFont="1" applyFill="1" applyBorder="1" applyAlignment="1">
      <alignment horizontal="center" vertical="center"/>
    </xf>
    <xf numFmtId="0" fontId="16" fillId="45" borderId="37" xfId="0" applyFont="1" applyFill="1" applyBorder="1" applyAlignment="1">
      <alignment horizontal="center" vertical="center"/>
    </xf>
    <xf numFmtId="0" fontId="16" fillId="45" borderId="46" xfId="0" applyFont="1" applyFill="1" applyBorder="1" applyAlignment="1">
      <alignment horizontal="center" vertical="center"/>
    </xf>
    <xf numFmtId="0" fontId="16" fillId="43" borderId="37" xfId="0" applyFont="1" applyFill="1" applyBorder="1" applyAlignment="1">
      <alignment horizontal="center" vertical="center"/>
    </xf>
    <xf numFmtId="0" fontId="16" fillId="43" borderId="46" xfId="0" applyFont="1" applyFill="1" applyBorder="1" applyAlignment="1">
      <alignment horizontal="center" vertical="center"/>
    </xf>
    <xf numFmtId="0" fontId="58" fillId="10" borderId="24" xfId="0" applyFont="1" applyFill="1" applyBorder="1" applyAlignment="1">
      <alignment horizontal="center"/>
    </xf>
    <xf numFmtId="0" fontId="59" fillId="25" borderId="48" xfId="0" applyFont="1" applyFill="1" applyBorder="1" applyAlignment="1">
      <alignment horizontal="center"/>
    </xf>
    <xf numFmtId="0" fontId="59" fillId="0" borderId="48" xfId="0" applyFont="1" applyBorder="1" applyAlignment="1"/>
    <xf numFmtId="0" fontId="59" fillId="0" borderId="34" xfId="0" applyFont="1" applyBorder="1" applyAlignment="1"/>
    <xf numFmtId="0" fontId="34" fillId="0" borderId="0" xfId="0" applyFont="1" applyFill="1" applyBorder="1" applyAlignment="1">
      <alignment horizontal="center" wrapText="1"/>
    </xf>
    <xf numFmtId="0" fontId="48" fillId="26" borderId="53" xfId="0" applyFont="1" applyFill="1" applyBorder="1" applyAlignment="1">
      <alignment horizontal="center"/>
    </xf>
    <xf numFmtId="0" fontId="48" fillId="26" borderId="54" xfId="0" applyFont="1" applyFill="1" applyBorder="1" applyAlignment="1">
      <alignment horizontal="center"/>
    </xf>
    <xf numFmtId="0" fontId="48" fillId="26" borderId="55" xfId="0" applyFont="1" applyFill="1" applyBorder="1" applyAlignment="1">
      <alignment horizontal="center"/>
    </xf>
    <xf numFmtId="0" fontId="51" fillId="26" borderId="56" xfId="0" applyFont="1" applyFill="1" applyBorder="1" applyAlignment="1">
      <alignment horizontal="center"/>
    </xf>
    <xf numFmtId="0" fontId="51" fillId="26" borderId="57" xfId="0" applyFont="1" applyFill="1" applyBorder="1" applyAlignment="1">
      <alignment horizontal="center"/>
    </xf>
    <xf numFmtId="0" fontId="51" fillId="26" borderId="58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9" fontId="34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</cellXfs>
  <cellStyles count="3">
    <cellStyle name="Lien hypertexte" xfId="1" builtinId="8"/>
    <cellStyle name="Normal" xfId="0" builtinId="0"/>
    <cellStyle name="Normal 2" xfId="2" xr:uid="{D3CCA334-0E5C-4C94-960C-66BDF46259D9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D2FBE"/>
      <rgbColor rgb="003DEB3D"/>
      <rgbColor rgb="0069FFFF"/>
      <rgbColor rgb="006A2813"/>
      <rgbColor rgb="00C0C0C0"/>
      <rgbColor rgb="00C0C0FF"/>
      <rgbColor rgb="00C6C6C6"/>
      <rgbColor rgb="00CC9CCC"/>
      <rgbColor rgb="00CCFFCC"/>
      <rgbColor rgb="00DFDFDF"/>
      <rgbColor rgb="00E3E3E3"/>
      <rgbColor rgb="00FF0000"/>
      <rgbColor rgb="00FFCC99"/>
      <rgbColor rgb="00FFFF00"/>
      <rgbColor rgb="00FFFF80"/>
      <rgbColor rgb="00FFFF99"/>
      <rgbColor rgb="00FFFFFF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D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8528412073490814"/>
                  <c:y val="8.204943132108485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constantes!$B$68:$B$86</c:f>
              <c:numCache>
                <c:formatCode>h:mm:ss</c:formatCode>
                <c:ptCount val="19"/>
                <c:pt idx="0">
                  <c:v>0.12986111111111112</c:v>
                </c:pt>
                <c:pt idx="1">
                  <c:v>0.11527777777777777</c:v>
                </c:pt>
                <c:pt idx="2">
                  <c:v>0.10347222222222223</c:v>
                </c:pt>
                <c:pt idx="3">
                  <c:v>9.375E-2</c:v>
                </c:pt>
                <c:pt idx="4">
                  <c:v>8.5416666666666655E-2</c:v>
                </c:pt>
                <c:pt idx="5">
                  <c:v>7.8472222222222221E-2</c:v>
                </c:pt>
                <c:pt idx="6">
                  <c:v>7.2916666666666671E-2</c:v>
                </c:pt>
                <c:pt idx="7">
                  <c:v>6.805555555555555E-2</c:v>
                </c:pt>
                <c:pt idx="8">
                  <c:v>6.3888888888888884E-2</c:v>
                </c:pt>
                <c:pt idx="9">
                  <c:v>6.0416666666666667E-2</c:v>
                </c:pt>
                <c:pt idx="10">
                  <c:v>5.6944444444444443E-2</c:v>
                </c:pt>
                <c:pt idx="11">
                  <c:v>5.4166666666666669E-2</c:v>
                </c:pt>
                <c:pt idx="12">
                  <c:v>5.1388888888888894E-2</c:v>
                </c:pt>
                <c:pt idx="13">
                  <c:v>4.9305555555555554E-2</c:v>
                </c:pt>
                <c:pt idx="14">
                  <c:v>4.6527777777777779E-2</c:v>
                </c:pt>
                <c:pt idx="15">
                  <c:v>4.5138888888888888E-2</c:v>
                </c:pt>
                <c:pt idx="16">
                  <c:v>4.3055555555555562E-2</c:v>
                </c:pt>
                <c:pt idx="17">
                  <c:v>4.1666666666666664E-2</c:v>
                </c:pt>
                <c:pt idx="18">
                  <c:v>4.027777777777778E-2</c:v>
                </c:pt>
              </c:numCache>
            </c:numRef>
          </c:xVal>
          <c:yVal>
            <c:numRef>
              <c:f>constantes!$A$68:$A$86</c:f>
              <c:numCache>
                <c:formatCode>General</c:formatCode>
                <c:ptCount val="19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61-2849-8AE1-6AE429AF2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889871"/>
        <c:axId val="932862015"/>
      </c:scatterChart>
      <c:valAx>
        <c:axId val="1009889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2862015"/>
        <c:crosses val="autoZero"/>
        <c:crossBetween val="midCat"/>
      </c:valAx>
      <c:valAx>
        <c:axId val="932862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9889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79248</xdr:colOff>
      <xdr:row>0</xdr:row>
      <xdr:rowOff>28575</xdr:rowOff>
    </xdr:from>
    <xdr:to>
      <xdr:col>9</xdr:col>
      <xdr:colOff>192786</xdr:colOff>
      <xdr:row>3</xdr:row>
      <xdr:rowOff>148846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ECC061E-280A-43CA-B4E0-815AA05D1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" y="28575"/>
          <a:ext cx="7465314" cy="5900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53340</xdr:rowOff>
    </xdr:from>
    <xdr:to>
      <xdr:col>4</xdr:col>
      <xdr:colOff>667722</xdr:colOff>
      <xdr:row>5</xdr:row>
      <xdr:rowOff>53340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7076FA9-5A6C-4D82-9091-145DCB99F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53340"/>
          <a:ext cx="10108902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46863</xdr:colOff>
      <xdr:row>0</xdr:row>
      <xdr:rowOff>140208</xdr:rowOff>
    </xdr:from>
    <xdr:to>
      <xdr:col>15</xdr:col>
      <xdr:colOff>261925</xdr:colOff>
      <xdr:row>2</xdr:row>
      <xdr:rowOff>78867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769FF7B-759A-4E9E-A937-F1D5F63F9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" y="140208"/>
          <a:ext cx="9485173" cy="790194"/>
        </a:xfrm>
        <a:prstGeom prst="rect">
          <a:avLst/>
        </a:prstGeom>
      </xdr:spPr>
    </xdr:pic>
    <xdr:clientData/>
  </xdr:twoCellAnchor>
  <xdr:twoCellAnchor editAs="oneCell">
    <xdr:from>
      <xdr:col>0</xdr:col>
      <xdr:colOff>42672</xdr:colOff>
      <xdr:row>0</xdr:row>
      <xdr:rowOff>170688</xdr:rowOff>
    </xdr:from>
    <xdr:to>
      <xdr:col>15</xdr:col>
      <xdr:colOff>260782</xdr:colOff>
      <xdr:row>2</xdr:row>
      <xdr:rowOff>117348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7D36540-4EC1-4A98-96B7-5D7E06509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" y="174498"/>
          <a:ext cx="9480982" cy="7844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135635</xdr:colOff>
      <xdr:row>0</xdr:row>
      <xdr:rowOff>125730</xdr:rowOff>
    </xdr:from>
    <xdr:to>
      <xdr:col>15</xdr:col>
      <xdr:colOff>377952</xdr:colOff>
      <xdr:row>2</xdr:row>
      <xdr:rowOff>83095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59AC89F-256B-40BA-A4F3-D43AAB5E1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35" y="125730"/>
          <a:ext cx="9916669" cy="8108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115824</xdr:colOff>
      <xdr:row>0</xdr:row>
      <xdr:rowOff>109727</xdr:rowOff>
    </xdr:from>
    <xdr:to>
      <xdr:col>15</xdr:col>
      <xdr:colOff>360807</xdr:colOff>
      <xdr:row>2</xdr:row>
      <xdr:rowOff>72933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446D10A-EC4B-41D8-80FA-AA75C13D7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" y="109727"/>
          <a:ext cx="9649968" cy="7995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917646</xdr:colOff>
      <xdr:row>66</xdr:row>
      <xdr:rowOff>137122</xdr:rowOff>
    </xdr:from>
    <xdr:to>
      <xdr:col>9</xdr:col>
      <xdr:colOff>84985</xdr:colOff>
      <xdr:row>83</xdr:row>
      <xdr:rowOff>120698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3AB8876-3C75-3B47-98BB-11ED22C536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12192</xdr:colOff>
      <xdr:row>3</xdr:row>
      <xdr:rowOff>0</xdr:rowOff>
    </xdr:from>
    <xdr:to>
      <xdr:col>5</xdr:col>
      <xdr:colOff>690871</xdr:colOff>
      <xdr:row>5</xdr:row>
      <xdr:rowOff>84951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5F1413B-B9E7-436F-B0BA-30CAB061B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" y="475488"/>
          <a:ext cx="5079991" cy="4019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1</xdr:row>
      <xdr:rowOff>30480</xdr:rowOff>
    </xdr:from>
    <xdr:to>
      <xdr:col>9</xdr:col>
      <xdr:colOff>659130</xdr:colOff>
      <xdr:row>4</xdr:row>
      <xdr:rowOff>137324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4D62705-544A-4B59-BC46-D7D8341FC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90500"/>
          <a:ext cx="7418070" cy="586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Admin/Desktop/ZATOPEK%20%20Pre&#769;paration%2020Km%20terrien_%20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JPB/AppData/Local/Microsoft/Windows/INetCache/Content.Outlook/BON0WUKK/1%20ASBL%20Sport&amp;Sant&#233;/ZATOPEK/ZATOPEK/ARTICLES%20ZATOPEK/Zat%2020%20Km/DOCUME~1/Roger/LOCALS~1/Temp/2preparation%20entrain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lonnage"/>
      <sheetName val="constant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1D2FB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1D2FB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pplewebdata://C05D1E5C-3D42-42BA-B965-D9BDC76FC47F/" TargetMode="External"/><Relationship Id="rId2" Type="http://schemas.openxmlformats.org/officeDocument/2006/relationships/hyperlink" Target="applewebdata://C05D1E5C-3D42-42BA-B965-D9BDC76FC47F/" TargetMode="External"/><Relationship Id="rId1" Type="http://schemas.openxmlformats.org/officeDocument/2006/relationships/hyperlink" Target="applewebdata://C05D1E5C-3D42-42BA-B965-D9BDC76FC47F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5:U94"/>
  <sheetViews>
    <sheetView tabSelected="1" zoomScale="125" zoomScaleNormal="100" workbookViewId="0">
      <selection activeCell="F62" sqref="F62"/>
    </sheetView>
  </sheetViews>
  <sheetFormatPr baseColWidth="10" defaultRowHeight="13" x14ac:dyDescent="0.15"/>
  <cols>
    <col min="1" max="1" width="14.1640625" customWidth="1"/>
    <col min="6" max="6" width="15.83203125" customWidth="1"/>
  </cols>
  <sheetData>
    <row r="5" spans="1:10" ht="20" x14ac:dyDescent="0.2">
      <c r="A5" s="216" t="s">
        <v>316</v>
      </c>
      <c r="B5" s="217"/>
      <c r="C5" s="217"/>
      <c r="D5" s="217"/>
      <c r="E5" s="217"/>
      <c r="F5" s="217"/>
      <c r="G5" s="217"/>
      <c r="H5" s="217"/>
      <c r="I5" s="217"/>
      <c r="J5" s="218"/>
    </row>
    <row r="6" spans="1:10" x14ac:dyDescent="0.15">
      <c r="A6" s="228"/>
      <c r="B6" s="229"/>
      <c r="C6" s="229"/>
      <c r="D6" s="229"/>
      <c r="E6" s="229"/>
      <c r="F6" s="229"/>
      <c r="G6" s="229"/>
      <c r="H6" s="229"/>
      <c r="I6" s="229"/>
      <c r="J6" s="229"/>
    </row>
    <row r="7" spans="1:10" ht="16" x14ac:dyDescent="0.2">
      <c r="A7" s="222" t="s">
        <v>279</v>
      </c>
      <c r="B7" s="223"/>
      <c r="C7" s="223"/>
      <c r="D7" s="223"/>
      <c r="E7" s="223"/>
      <c r="F7" s="223"/>
      <c r="G7" s="223"/>
      <c r="H7" s="223"/>
      <c r="I7" s="223"/>
      <c r="J7" s="224"/>
    </row>
    <row r="8" spans="1:10" ht="8.25" hidden="1" customHeight="1" thickBot="1" x14ac:dyDescent="0.25">
      <c r="A8" s="230" t="s">
        <v>2</v>
      </c>
      <c r="B8" s="230"/>
      <c r="C8" s="230"/>
      <c r="D8" s="230"/>
      <c r="E8" s="231"/>
      <c r="F8" s="231"/>
      <c r="G8" s="231"/>
      <c r="H8" s="231"/>
      <c r="I8" s="231"/>
      <c r="J8" s="231"/>
    </row>
    <row r="9" spans="1:10" ht="18" customHeight="1" x14ac:dyDescent="0.15">
      <c r="A9" s="219" t="s">
        <v>59</v>
      </c>
      <c r="B9" s="220"/>
      <c r="C9" s="220"/>
      <c r="D9" s="220"/>
      <c r="E9" s="220"/>
      <c r="F9" s="220"/>
      <c r="G9" s="220"/>
      <c r="H9" s="220"/>
      <c r="I9" s="220"/>
      <c r="J9" s="221"/>
    </row>
    <row r="10" spans="1:10" ht="12.75" customHeight="1" x14ac:dyDescent="0.15">
      <c r="A10" s="213" t="s">
        <v>60</v>
      </c>
      <c r="B10" s="214"/>
      <c r="C10" s="214"/>
      <c r="D10" s="214"/>
      <c r="E10" s="214"/>
      <c r="F10" s="214"/>
      <c r="G10" s="214"/>
      <c r="H10" s="214"/>
      <c r="I10" s="214"/>
      <c r="J10" s="215"/>
    </row>
    <row r="11" spans="1:10" ht="12.75" customHeight="1" x14ac:dyDescent="0.15">
      <c r="A11" s="184" t="s">
        <v>280</v>
      </c>
      <c r="B11" s="169"/>
      <c r="C11" s="169"/>
      <c r="D11" s="169"/>
      <c r="E11" s="169"/>
      <c r="F11" s="169"/>
      <c r="G11" s="169"/>
      <c r="H11" s="169"/>
      <c r="I11" s="169"/>
      <c r="J11" s="185"/>
    </row>
    <row r="12" spans="1:10" x14ac:dyDescent="0.15">
      <c r="A12" s="184" t="s">
        <v>281</v>
      </c>
      <c r="B12" s="169"/>
      <c r="C12" s="169"/>
      <c r="D12" s="169"/>
      <c r="E12" s="169"/>
      <c r="F12" s="169"/>
      <c r="G12" s="169"/>
      <c r="H12" s="169"/>
      <c r="I12" s="169"/>
      <c r="J12" s="185"/>
    </row>
    <row r="13" spans="1:10" ht="15" customHeight="1" x14ac:dyDescent="0.15">
      <c r="A13" s="225" t="s">
        <v>282</v>
      </c>
      <c r="B13" s="214"/>
      <c r="C13" s="214"/>
      <c r="D13" s="214"/>
      <c r="E13" s="214"/>
      <c r="F13" s="214"/>
      <c r="G13" s="214"/>
      <c r="H13" s="214"/>
      <c r="I13" s="214"/>
      <c r="J13" s="215"/>
    </row>
    <row r="14" spans="1:10" ht="15" customHeight="1" x14ac:dyDescent="0.15">
      <c r="A14" s="225" t="s">
        <v>283</v>
      </c>
      <c r="B14" s="226"/>
      <c r="C14" s="226"/>
      <c r="D14" s="226"/>
      <c r="E14" s="226"/>
      <c r="F14" s="226"/>
      <c r="G14" s="226"/>
      <c r="H14" s="226"/>
      <c r="I14" s="226"/>
      <c r="J14" s="227"/>
    </row>
    <row r="15" spans="1:10" x14ac:dyDescent="0.15">
      <c r="A15" s="184" t="s">
        <v>284</v>
      </c>
      <c r="B15" s="169"/>
      <c r="C15" s="169"/>
      <c r="D15" s="169"/>
      <c r="E15" s="169"/>
      <c r="F15" s="169"/>
      <c r="G15" s="169"/>
      <c r="H15" s="169"/>
      <c r="I15" s="169"/>
      <c r="J15" s="185"/>
    </row>
    <row r="16" spans="1:10" x14ac:dyDescent="0.15">
      <c r="A16" s="184" t="s">
        <v>285</v>
      </c>
      <c r="B16" s="169"/>
      <c r="C16" s="169"/>
      <c r="D16" s="169"/>
      <c r="E16" s="169"/>
      <c r="F16" s="169"/>
      <c r="G16" s="169"/>
      <c r="H16" s="169"/>
      <c r="I16" s="169"/>
      <c r="J16" s="185"/>
    </row>
    <row r="17" spans="1:10" x14ac:dyDescent="0.15">
      <c r="A17" s="184" t="s">
        <v>286</v>
      </c>
      <c r="B17" s="169"/>
      <c r="C17" s="169"/>
      <c r="D17" s="169"/>
      <c r="E17" s="169"/>
      <c r="F17" s="169"/>
      <c r="G17" s="169"/>
      <c r="H17" s="169"/>
      <c r="I17" s="169"/>
      <c r="J17" s="185"/>
    </row>
    <row r="18" spans="1:10" x14ac:dyDescent="0.15">
      <c r="A18" s="213" t="s">
        <v>287</v>
      </c>
      <c r="B18" s="214"/>
      <c r="C18" s="214"/>
      <c r="D18" s="214"/>
      <c r="E18" s="214"/>
      <c r="F18" s="214"/>
      <c r="G18" s="214"/>
      <c r="H18" s="214"/>
      <c r="I18" s="214"/>
      <c r="J18" s="215"/>
    </row>
    <row r="19" spans="1:10" x14ac:dyDescent="0.15">
      <c r="A19" s="213" t="s">
        <v>288</v>
      </c>
      <c r="B19" s="214"/>
      <c r="C19" s="214"/>
      <c r="D19" s="214"/>
      <c r="E19" s="214"/>
      <c r="F19" s="214"/>
      <c r="G19" s="214"/>
      <c r="H19" s="214"/>
      <c r="I19" s="214"/>
      <c r="J19" s="215"/>
    </row>
    <row r="20" spans="1:10" x14ac:dyDescent="0.15">
      <c r="A20" s="186" t="s">
        <v>72</v>
      </c>
      <c r="B20" s="169"/>
      <c r="C20" s="169"/>
      <c r="D20" s="169"/>
      <c r="E20" s="169"/>
      <c r="F20" s="169"/>
      <c r="G20" s="169"/>
      <c r="H20" s="169"/>
      <c r="I20" s="169"/>
      <c r="J20" s="185"/>
    </row>
    <row r="21" spans="1:10" x14ac:dyDescent="0.15">
      <c r="A21" s="213" t="s">
        <v>61</v>
      </c>
      <c r="B21" s="214"/>
      <c r="C21" s="214"/>
      <c r="D21" s="214"/>
      <c r="E21" s="214"/>
      <c r="F21" s="214"/>
      <c r="G21" s="214"/>
      <c r="H21" s="214"/>
      <c r="I21" s="214"/>
      <c r="J21" s="215"/>
    </row>
    <row r="22" spans="1:10" x14ac:dyDescent="0.15">
      <c r="A22" s="225" t="s">
        <v>289</v>
      </c>
      <c r="B22" s="214"/>
      <c r="C22" s="214"/>
      <c r="D22" s="214"/>
      <c r="E22" s="214"/>
      <c r="F22" s="214"/>
      <c r="G22" s="214"/>
      <c r="H22" s="214"/>
      <c r="I22" s="214"/>
      <c r="J22" s="215"/>
    </row>
    <row r="23" spans="1:10" x14ac:dyDescent="0.15">
      <c r="A23" s="213" t="s">
        <v>62</v>
      </c>
      <c r="B23" s="214"/>
      <c r="C23" s="214"/>
      <c r="D23" s="214"/>
      <c r="E23" s="214"/>
      <c r="F23" s="214"/>
      <c r="G23" s="214"/>
      <c r="H23" s="214"/>
      <c r="I23" s="214"/>
      <c r="J23" s="215"/>
    </row>
    <row r="24" spans="1:10" x14ac:dyDescent="0.15">
      <c r="A24" s="213" t="s">
        <v>290</v>
      </c>
      <c r="B24" s="214"/>
      <c r="C24" s="214"/>
      <c r="D24" s="214"/>
      <c r="E24" s="214"/>
      <c r="F24" s="214"/>
      <c r="G24" s="214"/>
      <c r="H24" s="214"/>
      <c r="I24" s="214"/>
      <c r="J24" s="215"/>
    </row>
    <row r="25" spans="1:10" x14ac:dyDescent="0.15">
      <c r="A25" s="250" t="s">
        <v>291</v>
      </c>
      <c r="B25" s="251"/>
      <c r="C25" s="251"/>
      <c r="D25" s="251"/>
      <c r="E25" s="251"/>
      <c r="F25" s="251"/>
      <c r="G25" s="251"/>
      <c r="H25" s="251"/>
      <c r="I25" s="251"/>
      <c r="J25" s="252"/>
    </row>
    <row r="26" spans="1:10" ht="16" x14ac:dyDescent="0.2">
      <c r="A26" s="244" t="s">
        <v>292</v>
      </c>
      <c r="B26" s="245"/>
      <c r="C26" s="245"/>
      <c r="D26" s="245"/>
      <c r="E26" s="245"/>
      <c r="F26" s="245"/>
      <c r="G26" s="245"/>
      <c r="H26" s="245"/>
      <c r="I26" s="245"/>
      <c r="J26" s="246"/>
    </row>
    <row r="27" spans="1:10" ht="13" customHeight="1" x14ac:dyDescent="0.15">
      <c r="A27" s="235" t="s">
        <v>293</v>
      </c>
      <c r="B27" s="236"/>
      <c r="C27" s="236"/>
      <c r="D27" s="236"/>
      <c r="E27" s="236"/>
      <c r="F27" s="236"/>
      <c r="G27" s="236"/>
      <c r="H27" s="236"/>
      <c r="I27" s="236"/>
      <c r="J27" s="237"/>
    </row>
    <row r="28" spans="1:10" ht="13" customHeight="1" x14ac:dyDescent="0.15">
      <c r="A28" s="253" t="s">
        <v>64</v>
      </c>
      <c r="B28" s="254"/>
      <c r="C28" s="254"/>
      <c r="D28" s="254"/>
      <c r="E28" s="254"/>
      <c r="F28" s="254"/>
      <c r="G28" s="254"/>
      <c r="H28" s="254"/>
      <c r="I28" s="254"/>
      <c r="J28" s="255"/>
    </row>
    <row r="29" spans="1:10" ht="14" customHeight="1" x14ac:dyDescent="0.15">
      <c r="A29" s="247" t="s">
        <v>63</v>
      </c>
      <c r="B29" s="248"/>
      <c r="C29" s="248"/>
      <c r="D29" s="248"/>
      <c r="E29" s="248"/>
      <c r="F29" s="248"/>
      <c r="G29" s="248"/>
      <c r="H29" s="248"/>
      <c r="I29" s="248"/>
      <c r="J29" s="249"/>
    </row>
    <row r="30" spans="1:10" ht="16" x14ac:dyDescent="0.2">
      <c r="A30" s="256" t="s">
        <v>49</v>
      </c>
      <c r="B30" s="257"/>
      <c r="C30" s="257"/>
      <c r="D30" s="258"/>
      <c r="E30" s="258"/>
      <c r="F30" s="258"/>
      <c r="G30" s="258"/>
      <c r="H30" s="258"/>
      <c r="I30" s="258"/>
      <c r="J30" s="259"/>
    </row>
    <row r="31" spans="1:10" x14ac:dyDescent="0.15">
      <c r="A31" s="241" t="s">
        <v>294</v>
      </c>
      <c r="B31" s="242"/>
      <c r="C31" s="242"/>
      <c r="D31" s="242"/>
      <c r="E31" s="242"/>
      <c r="F31" s="242"/>
      <c r="G31" s="242"/>
      <c r="H31" s="242"/>
      <c r="I31" s="242"/>
      <c r="J31" s="243"/>
    </row>
    <row r="32" spans="1:10" x14ac:dyDescent="0.15">
      <c r="A32" s="213" t="s">
        <v>295</v>
      </c>
      <c r="B32" s="233"/>
      <c r="C32" s="233"/>
      <c r="D32" s="233"/>
      <c r="E32" s="233"/>
      <c r="F32" s="233"/>
      <c r="G32" s="233"/>
      <c r="H32" s="233"/>
      <c r="I32" s="233"/>
      <c r="J32" s="234"/>
    </row>
    <row r="33" spans="1:11" x14ac:dyDescent="0.15">
      <c r="A33" s="213" t="s">
        <v>111</v>
      </c>
      <c r="B33" s="233"/>
      <c r="C33" s="233"/>
      <c r="D33" s="233"/>
      <c r="E33" s="233"/>
      <c r="F33" s="233"/>
      <c r="G33" s="233"/>
      <c r="H33" s="233"/>
      <c r="I33" s="233"/>
      <c r="J33" s="234"/>
    </row>
    <row r="34" spans="1:11" x14ac:dyDescent="0.15">
      <c r="A34" s="240" t="s">
        <v>296</v>
      </c>
      <c r="B34" s="233"/>
      <c r="C34" s="233"/>
      <c r="D34" s="233"/>
      <c r="E34" s="233"/>
      <c r="F34" s="233"/>
      <c r="G34" s="233"/>
      <c r="H34" s="233"/>
      <c r="I34" s="233"/>
      <c r="J34" s="234"/>
    </row>
    <row r="35" spans="1:11" x14ac:dyDescent="0.15">
      <c r="A35" s="240" t="s">
        <v>83</v>
      </c>
      <c r="B35" s="238"/>
      <c r="C35" s="238"/>
      <c r="D35" s="238"/>
      <c r="E35" s="238"/>
      <c r="F35" s="238"/>
      <c r="G35" s="238"/>
      <c r="H35" s="238"/>
      <c r="I35" s="238"/>
      <c r="J35" s="239"/>
    </row>
    <row r="36" spans="1:11" ht="12.75" customHeight="1" x14ac:dyDescent="0.15">
      <c r="A36" s="213" t="s">
        <v>297</v>
      </c>
      <c r="B36" s="233"/>
      <c r="C36" s="233"/>
      <c r="D36" s="233"/>
      <c r="E36" s="233"/>
      <c r="F36" s="233"/>
      <c r="G36" s="233"/>
      <c r="H36" s="233"/>
      <c r="I36" s="233"/>
      <c r="J36" s="234"/>
    </row>
    <row r="37" spans="1:11" ht="12.75" customHeight="1" x14ac:dyDescent="0.15">
      <c r="A37" s="184"/>
      <c r="B37" s="187"/>
      <c r="C37" s="187"/>
      <c r="D37" s="187"/>
      <c r="E37" s="187"/>
      <c r="F37" s="187"/>
      <c r="G37" s="187"/>
      <c r="H37" s="187"/>
      <c r="I37" s="187"/>
      <c r="J37" s="188"/>
    </row>
    <row r="38" spans="1:11" ht="12.75" customHeight="1" x14ac:dyDescent="0.15">
      <c r="A38" s="225" t="s">
        <v>53</v>
      </c>
      <c r="B38" s="238"/>
      <c r="C38" s="238"/>
      <c r="D38" s="238"/>
      <c r="E38" s="238"/>
      <c r="F38" s="238"/>
      <c r="G38" s="238"/>
      <c r="H38" s="238"/>
      <c r="I38" s="238"/>
      <c r="J38" s="239"/>
    </row>
    <row r="39" spans="1:11" ht="15.75" customHeight="1" x14ac:dyDescent="0.15">
      <c r="A39" s="213" t="s">
        <v>54</v>
      </c>
      <c r="B39" s="233"/>
      <c r="C39" s="233"/>
      <c r="D39" s="233"/>
      <c r="E39" s="233"/>
      <c r="F39" s="233"/>
      <c r="G39" s="233"/>
      <c r="H39" s="233"/>
      <c r="I39" s="233"/>
      <c r="J39" s="234"/>
    </row>
    <row r="40" spans="1:11" ht="14.25" customHeight="1" x14ac:dyDescent="0.15">
      <c r="A40" s="213" t="s">
        <v>55</v>
      </c>
      <c r="B40" s="233"/>
      <c r="C40" s="233"/>
      <c r="D40" s="233"/>
      <c r="E40" s="233"/>
      <c r="F40" s="233"/>
      <c r="G40" s="233"/>
      <c r="H40" s="233"/>
      <c r="I40" s="233"/>
      <c r="J40" s="234"/>
    </row>
    <row r="41" spans="1:11" ht="13.5" customHeight="1" x14ac:dyDescent="0.15">
      <c r="A41" s="213" t="s">
        <v>56</v>
      </c>
      <c r="B41" s="233"/>
      <c r="C41" s="233"/>
      <c r="D41" s="233"/>
      <c r="E41" s="233"/>
      <c r="F41" s="233"/>
      <c r="G41" s="233"/>
      <c r="H41" s="233"/>
      <c r="I41" s="233"/>
      <c r="J41" s="234"/>
    </row>
    <row r="42" spans="1:11" ht="12.75" customHeight="1" x14ac:dyDescent="0.15">
      <c r="A42" s="213" t="s">
        <v>109</v>
      </c>
      <c r="B42" s="233"/>
      <c r="C42" s="233"/>
      <c r="D42" s="233"/>
      <c r="E42" s="233"/>
      <c r="F42" s="233"/>
      <c r="G42" s="233"/>
      <c r="H42" s="233"/>
      <c r="I42" s="233"/>
      <c r="J42" s="234"/>
    </row>
    <row r="43" spans="1:11" ht="12.75" customHeight="1" x14ac:dyDescent="0.15">
      <c r="A43" s="184"/>
      <c r="B43" s="187"/>
      <c r="C43" s="187"/>
      <c r="D43" s="187"/>
      <c r="E43" s="187"/>
      <c r="F43" s="187"/>
      <c r="G43" s="187"/>
      <c r="H43" s="187"/>
      <c r="I43" s="187"/>
      <c r="J43" s="188"/>
    </row>
    <row r="44" spans="1:11" ht="12.75" customHeight="1" x14ac:dyDescent="0.15">
      <c r="A44" s="225" t="s">
        <v>57</v>
      </c>
      <c r="B44" s="238"/>
      <c r="C44" s="238"/>
      <c r="D44" s="238"/>
      <c r="E44" s="238"/>
      <c r="F44" s="238"/>
      <c r="G44" s="238"/>
      <c r="H44" s="238"/>
      <c r="I44" s="238"/>
      <c r="J44" s="239"/>
    </row>
    <row r="45" spans="1:11" ht="12.75" customHeight="1" x14ac:dyDescent="0.15">
      <c r="A45" s="213" t="s">
        <v>58</v>
      </c>
      <c r="B45" s="233"/>
      <c r="C45" s="233"/>
      <c r="D45" s="233"/>
      <c r="E45" s="233"/>
      <c r="F45" s="233"/>
      <c r="G45" s="233"/>
      <c r="H45" s="233"/>
      <c r="I45" s="233"/>
      <c r="J45" s="234"/>
    </row>
    <row r="46" spans="1:11" ht="16" x14ac:dyDescent="0.2">
      <c r="A46" s="213" t="s">
        <v>229</v>
      </c>
      <c r="B46" s="233"/>
      <c r="C46" s="233"/>
      <c r="D46" s="233"/>
      <c r="E46" s="233"/>
      <c r="F46" s="233"/>
      <c r="G46" s="233"/>
      <c r="H46" s="233"/>
      <c r="I46" s="233"/>
      <c r="J46" s="234"/>
      <c r="K46" s="3"/>
    </row>
    <row r="47" spans="1:11" ht="15" customHeight="1" x14ac:dyDescent="0.2">
      <c r="A47" s="184"/>
      <c r="B47" s="187"/>
      <c r="C47" s="187"/>
      <c r="D47" s="187"/>
      <c r="E47" s="187"/>
      <c r="F47" s="187"/>
      <c r="G47" s="187"/>
      <c r="H47" s="187"/>
      <c r="I47" s="187"/>
      <c r="J47" s="188"/>
      <c r="K47" s="3"/>
    </row>
    <row r="48" spans="1:11" ht="15" customHeight="1" x14ac:dyDescent="0.2">
      <c r="A48" s="266" t="s">
        <v>298</v>
      </c>
      <c r="B48" s="267"/>
      <c r="C48" s="267"/>
      <c r="D48" s="267"/>
      <c r="E48" s="267"/>
      <c r="F48" s="267"/>
      <c r="G48" s="267"/>
      <c r="H48" s="267"/>
      <c r="I48" s="267"/>
      <c r="J48" s="268"/>
      <c r="K48" s="3"/>
    </row>
    <row r="49" spans="1:21" ht="18" customHeight="1" x14ac:dyDescent="0.2">
      <c r="A49" s="269" t="s">
        <v>110</v>
      </c>
      <c r="B49" s="269"/>
      <c r="C49" s="269"/>
      <c r="D49" s="270"/>
      <c r="E49" s="270"/>
      <c r="F49" s="270"/>
      <c r="G49" s="270"/>
      <c r="H49" s="270"/>
      <c r="I49" s="270"/>
      <c r="J49" s="270"/>
      <c r="K49" s="3"/>
      <c r="L49" s="260"/>
      <c r="M49" s="260"/>
      <c r="N49" s="260"/>
      <c r="O49" s="261"/>
      <c r="P49" s="261"/>
      <c r="Q49" s="261"/>
      <c r="R49" s="261"/>
      <c r="S49" s="261"/>
      <c r="T49" s="261"/>
      <c r="U49" s="261"/>
    </row>
    <row r="50" spans="1:21" ht="18" customHeight="1" x14ac:dyDescent="0.2">
      <c r="A50" s="262" t="s">
        <v>73</v>
      </c>
      <c r="B50" s="262"/>
      <c r="C50" s="262" t="s">
        <v>74</v>
      </c>
      <c r="D50" s="262"/>
      <c r="E50" s="263"/>
      <c r="F50" s="263"/>
      <c r="G50" s="262" t="s">
        <v>75</v>
      </c>
      <c r="H50" s="262"/>
      <c r="I50" s="263"/>
      <c r="J50" s="263"/>
      <c r="K50" s="3"/>
      <c r="L50" s="264"/>
      <c r="M50" s="264"/>
      <c r="N50" s="264"/>
      <c r="O50" s="264"/>
      <c r="P50" s="265"/>
      <c r="Q50" s="265"/>
      <c r="R50" s="264"/>
      <c r="S50" s="264"/>
      <c r="T50" s="265"/>
      <c r="U50" s="265"/>
    </row>
    <row r="51" spans="1:21" ht="18" customHeight="1" x14ac:dyDescent="0.2">
      <c r="A51" s="282" t="s">
        <v>103</v>
      </c>
      <c r="B51" s="283"/>
      <c r="C51" s="275" t="s">
        <v>50</v>
      </c>
      <c r="D51" s="276"/>
      <c r="E51" s="276"/>
      <c r="F51" s="276"/>
      <c r="G51" s="284" t="s">
        <v>213</v>
      </c>
      <c r="H51" s="285"/>
      <c r="I51" s="285"/>
      <c r="J51" s="285"/>
      <c r="K51" s="3"/>
      <c r="L51" s="278"/>
      <c r="M51" s="286"/>
      <c r="N51" s="280"/>
      <c r="O51" s="281"/>
      <c r="P51" s="281"/>
      <c r="Q51" s="281"/>
      <c r="R51" s="271"/>
      <c r="S51" s="272"/>
      <c r="T51" s="272"/>
      <c r="U51" s="272"/>
    </row>
    <row r="52" spans="1:21" ht="18" customHeight="1" x14ac:dyDescent="0.2">
      <c r="A52" s="273" t="s">
        <v>299</v>
      </c>
      <c r="B52" s="274"/>
      <c r="C52" s="275" t="s">
        <v>300</v>
      </c>
      <c r="D52" s="276"/>
      <c r="E52" s="276"/>
      <c r="F52" s="276"/>
      <c r="G52" s="277" t="s">
        <v>301</v>
      </c>
      <c r="H52" s="277"/>
      <c r="I52" s="277"/>
      <c r="J52" s="277"/>
      <c r="K52" s="3"/>
      <c r="L52" s="189"/>
      <c r="M52" s="190"/>
      <c r="N52" s="191"/>
      <c r="O52" s="192"/>
      <c r="P52" s="192"/>
      <c r="Q52" s="192"/>
      <c r="R52" s="193"/>
      <c r="S52" s="194"/>
      <c r="T52" s="194"/>
      <c r="U52" s="194"/>
    </row>
    <row r="53" spans="1:21" ht="18" customHeight="1" x14ac:dyDescent="0.2">
      <c r="A53" s="287" t="s">
        <v>102</v>
      </c>
      <c r="B53" s="288"/>
      <c r="C53" s="275" t="s">
        <v>114</v>
      </c>
      <c r="D53" s="276"/>
      <c r="E53" s="276"/>
      <c r="F53" s="276"/>
      <c r="G53" s="284" t="s">
        <v>214</v>
      </c>
      <c r="H53" s="285"/>
      <c r="I53" s="285"/>
      <c r="J53" s="285"/>
      <c r="K53" s="3"/>
      <c r="L53" s="278"/>
      <c r="M53" s="279"/>
      <c r="N53" s="280"/>
      <c r="O53" s="281"/>
      <c r="P53" s="281"/>
      <c r="Q53" s="281"/>
      <c r="R53" s="271"/>
      <c r="S53" s="272"/>
      <c r="T53" s="272"/>
      <c r="U53" s="272"/>
    </row>
    <row r="54" spans="1:21" ht="18" customHeight="1" x14ac:dyDescent="0.2">
      <c r="A54" s="294" t="s">
        <v>101</v>
      </c>
      <c r="B54" s="295"/>
      <c r="C54" s="293" t="s">
        <v>105</v>
      </c>
      <c r="D54" s="293"/>
      <c r="E54" s="293"/>
      <c r="F54" s="293"/>
      <c r="G54" s="296" t="s">
        <v>215</v>
      </c>
      <c r="H54" s="296"/>
      <c r="I54" s="296"/>
      <c r="J54" s="296"/>
      <c r="K54" s="3"/>
      <c r="L54" s="278"/>
      <c r="M54" s="279"/>
      <c r="N54" s="280"/>
      <c r="O54" s="281"/>
      <c r="P54" s="281"/>
      <c r="Q54" s="281"/>
      <c r="R54" s="271"/>
      <c r="S54" s="272"/>
      <c r="T54" s="272"/>
      <c r="U54" s="272"/>
    </row>
    <row r="55" spans="1:21" ht="18" customHeight="1" x14ac:dyDescent="0.2">
      <c r="A55" s="195" t="s">
        <v>101</v>
      </c>
      <c r="B55" s="196" t="s">
        <v>107</v>
      </c>
      <c r="C55" s="197" t="s">
        <v>302</v>
      </c>
      <c r="D55" s="197"/>
      <c r="E55" s="197"/>
      <c r="F55" s="197"/>
      <c r="G55" s="232" t="s">
        <v>215</v>
      </c>
      <c r="H55" s="232"/>
      <c r="I55" s="232"/>
      <c r="J55" s="232"/>
      <c r="K55" s="3"/>
      <c r="L55" s="292"/>
      <c r="M55" s="292"/>
      <c r="N55" s="198"/>
      <c r="O55" s="199"/>
      <c r="P55" s="199"/>
      <c r="Q55" s="199"/>
      <c r="R55" s="289"/>
      <c r="S55" s="289"/>
      <c r="T55" s="289"/>
      <c r="U55" s="289"/>
    </row>
    <row r="56" spans="1:21" ht="18" customHeight="1" x14ac:dyDescent="0.2">
      <c r="A56" s="297" t="s">
        <v>51</v>
      </c>
      <c r="B56" s="298"/>
      <c r="C56" s="275" t="s">
        <v>78</v>
      </c>
      <c r="D56" s="276"/>
      <c r="E56" s="276"/>
      <c r="F56" s="276"/>
      <c r="G56" s="284" t="s">
        <v>216</v>
      </c>
      <c r="H56" s="285"/>
      <c r="I56" s="285"/>
      <c r="J56" s="285"/>
      <c r="K56" s="3"/>
      <c r="L56" s="200"/>
      <c r="M56" s="201"/>
      <c r="N56" s="264"/>
      <c r="O56" s="264"/>
      <c r="P56" s="264"/>
      <c r="Q56" s="264"/>
      <c r="R56" s="289"/>
      <c r="S56" s="289"/>
      <c r="T56" s="289"/>
      <c r="U56" s="289"/>
    </row>
    <row r="57" spans="1:21" ht="18" customHeight="1" x14ac:dyDescent="0.2">
      <c r="A57" s="290" t="s">
        <v>107</v>
      </c>
      <c r="B57" s="291"/>
      <c r="C57" s="275" t="s">
        <v>104</v>
      </c>
      <c r="D57" s="276"/>
      <c r="E57" s="276"/>
      <c r="F57" s="276"/>
      <c r="G57" s="284" t="s">
        <v>217</v>
      </c>
      <c r="H57" s="285"/>
      <c r="I57" s="285"/>
      <c r="J57" s="285"/>
      <c r="K57" s="3"/>
      <c r="L57" s="278"/>
      <c r="M57" s="278"/>
      <c r="N57" s="191"/>
      <c r="O57" s="192"/>
      <c r="P57" s="192"/>
      <c r="Q57" s="192"/>
      <c r="R57" s="193"/>
      <c r="S57" s="194"/>
      <c r="T57" s="194"/>
      <c r="U57" s="194"/>
    </row>
    <row r="58" spans="1:21" ht="19" customHeight="1" x14ac:dyDescent="0.2">
      <c r="A58" s="307" t="s">
        <v>259</v>
      </c>
      <c r="B58" s="308"/>
      <c r="C58" s="275" t="s">
        <v>303</v>
      </c>
      <c r="D58" s="275"/>
      <c r="E58" s="275"/>
      <c r="F58" s="275"/>
      <c r="G58" s="284" t="s">
        <v>220</v>
      </c>
      <c r="H58" s="284"/>
      <c r="I58" s="284"/>
      <c r="J58" s="284"/>
      <c r="K58" s="3"/>
      <c r="L58" s="278"/>
      <c r="M58" s="278"/>
      <c r="N58" s="191"/>
      <c r="O58" s="192"/>
      <c r="P58" s="192"/>
      <c r="Q58" s="192"/>
      <c r="R58" s="193"/>
      <c r="S58" s="194"/>
      <c r="T58" s="194"/>
      <c r="U58" s="194"/>
    </row>
    <row r="59" spans="1:21" ht="19" customHeight="1" x14ac:dyDescent="0.2">
      <c r="A59" s="306" t="s">
        <v>126</v>
      </c>
      <c r="B59" s="306"/>
      <c r="C59" s="304" t="s">
        <v>304</v>
      </c>
      <c r="D59" s="304"/>
      <c r="E59" s="304"/>
      <c r="F59" s="305"/>
      <c r="G59" s="302" t="s">
        <v>220</v>
      </c>
      <c r="H59" s="302"/>
      <c r="I59" s="302"/>
      <c r="J59" s="303"/>
      <c r="K59" s="3"/>
      <c r="L59" s="278"/>
      <c r="M59" s="278"/>
      <c r="N59" s="191"/>
      <c r="O59" s="192"/>
      <c r="P59" s="192"/>
      <c r="Q59" s="192"/>
      <c r="R59" s="193"/>
      <c r="S59" s="194"/>
      <c r="T59" s="194"/>
      <c r="U59" s="194"/>
    </row>
    <row r="60" spans="1:21" ht="16" x14ac:dyDescent="0.2">
      <c r="K60" s="3"/>
      <c r="L60" s="299"/>
      <c r="M60" s="299"/>
      <c r="N60" s="191"/>
      <c r="O60" s="191"/>
      <c r="P60" s="191"/>
      <c r="Q60" s="191"/>
      <c r="R60" s="193"/>
      <c r="S60" s="193"/>
      <c r="T60" s="193"/>
      <c r="U60" s="193"/>
    </row>
    <row r="61" spans="1:21" ht="18" x14ac:dyDescent="0.2">
      <c r="A61" s="300" t="s">
        <v>317</v>
      </c>
      <c r="B61" s="300"/>
      <c r="C61" s="300"/>
      <c r="D61" s="301"/>
      <c r="E61" s="301"/>
      <c r="F61" s="301"/>
      <c r="G61" s="301"/>
      <c r="H61" s="301"/>
      <c r="I61" s="301"/>
      <c r="J61" s="301"/>
      <c r="K61" s="3"/>
      <c r="L61" s="202"/>
      <c r="M61" s="202"/>
      <c r="N61" s="191"/>
      <c r="O61" s="191"/>
      <c r="P61" s="191"/>
      <c r="Q61" s="191"/>
      <c r="R61" s="193"/>
      <c r="S61" s="193"/>
      <c r="T61" s="193"/>
      <c r="U61" s="193"/>
    </row>
    <row r="62" spans="1:21" ht="16" x14ac:dyDescent="0.2">
      <c r="A62" s="203" t="s">
        <v>272</v>
      </c>
      <c r="B62" s="204" t="s">
        <v>305</v>
      </c>
      <c r="C62" s="205"/>
      <c r="D62" s="205"/>
      <c r="E62" s="205"/>
      <c r="F62" s="205"/>
      <c r="G62" s="205"/>
      <c r="H62" s="205"/>
      <c r="I62" s="205"/>
      <c r="J62" s="206"/>
      <c r="K62" s="3"/>
    </row>
    <row r="63" spans="1:21" ht="16" x14ac:dyDescent="0.2">
      <c r="A63" s="186" t="s">
        <v>273</v>
      </c>
      <c r="B63" s="187" t="s">
        <v>274</v>
      </c>
      <c r="C63" s="3"/>
      <c r="D63" s="3"/>
      <c r="E63" s="3"/>
      <c r="F63" s="3"/>
      <c r="G63" s="3"/>
      <c r="H63" s="3"/>
      <c r="I63" s="3"/>
      <c r="J63" s="207"/>
      <c r="K63" s="3"/>
    </row>
    <row r="64" spans="1:21" ht="16" x14ac:dyDescent="0.2">
      <c r="A64" s="186" t="s">
        <v>275</v>
      </c>
      <c r="B64" s="187" t="s">
        <v>276</v>
      </c>
      <c r="J64" s="208"/>
      <c r="K64" s="3"/>
    </row>
    <row r="65" spans="1:11" ht="16" x14ac:dyDescent="0.2">
      <c r="A65" s="186" t="s">
        <v>277</v>
      </c>
      <c r="B65" s="187" t="s">
        <v>306</v>
      </c>
      <c r="J65" s="208"/>
      <c r="K65" s="3"/>
    </row>
    <row r="66" spans="1:11" ht="16" x14ac:dyDescent="0.2">
      <c r="A66" s="186" t="s">
        <v>307</v>
      </c>
      <c r="B66" s="187" t="s">
        <v>308</v>
      </c>
      <c r="J66" s="208"/>
      <c r="K66" s="3"/>
    </row>
    <row r="67" spans="1:11" ht="16" x14ac:dyDescent="0.2">
      <c r="A67" s="186" t="s">
        <v>309</v>
      </c>
      <c r="B67" s="187" t="s">
        <v>310</v>
      </c>
      <c r="J67" s="208"/>
      <c r="K67" s="3"/>
    </row>
    <row r="68" spans="1:11" ht="16" x14ac:dyDescent="0.2">
      <c r="A68" s="186" t="s">
        <v>311</v>
      </c>
      <c r="B68" s="187" t="s">
        <v>312</v>
      </c>
      <c r="J68" s="208"/>
      <c r="K68" s="3"/>
    </row>
    <row r="69" spans="1:11" ht="16" x14ac:dyDescent="0.2">
      <c r="A69" s="186" t="s">
        <v>232</v>
      </c>
      <c r="B69" s="187" t="s">
        <v>313</v>
      </c>
      <c r="J69" s="208"/>
      <c r="K69" s="3"/>
    </row>
    <row r="70" spans="1:11" ht="16" x14ac:dyDescent="0.2">
      <c r="A70" s="186"/>
      <c r="B70" s="187" t="s">
        <v>314</v>
      </c>
      <c r="J70" s="208"/>
      <c r="K70" s="3"/>
    </row>
    <row r="71" spans="1:11" ht="16" x14ac:dyDescent="0.2">
      <c r="A71" s="209"/>
      <c r="B71" s="210" t="s">
        <v>315</v>
      </c>
      <c r="C71" s="211"/>
      <c r="D71" s="211"/>
      <c r="E71" s="211"/>
      <c r="F71" s="211"/>
      <c r="G71" s="211"/>
      <c r="H71" s="211"/>
      <c r="I71" s="211"/>
      <c r="J71" s="212"/>
      <c r="K71" s="3"/>
    </row>
    <row r="72" spans="1:11" ht="16" x14ac:dyDescent="0.2">
      <c r="K72" s="3"/>
    </row>
    <row r="73" spans="1:11" ht="16" x14ac:dyDescent="0.2">
      <c r="K73" s="3"/>
    </row>
    <row r="74" spans="1:11" ht="16" x14ac:dyDescent="0.2">
      <c r="K74" s="3"/>
    </row>
    <row r="75" spans="1:11" ht="16" x14ac:dyDescent="0.2">
      <c r="K75" s="3"/>
    </row>
    <row r="76" spans="1:11" ht="16" x14ac:dyDescent="0.2">
      <c r="K76" s="3"/>
    </row>
    <row r="77" spans="1:11" ht="13.5" customHeight="1" x14ac:dyDescent="0.2">
      <c r="K77" s="3"/>
    </row>
    <row r="78" spans="1:11" ht="16" x14ac:dyDescent="0.2">
      <c r="K78" s="3"/>
    </row>
    <row r="79" spans="1:11" ht="11.25" customHeight="1" x14ac:dyDescent="0.2">
      <c r="K79" s="3"/>
    </row>
    <row r="80" spans="1:11" ht="15" customHeight="1" x14ac:dyDescent="0.2">
      <c r="K80" s="3"/>
    </row>
    <row r="81" spans="11:11" ht="15" customHeight="1" x14ac:dyDescent="0.2">
      <c r="K81" s="3"/>
    </row>
    <row r="82" spans="11:11" ht="16" x14ac:dyDescent="0.2">
      <c r="K82" s="3"/>
    </row>
    <row r="83" spans="11:11" ht="16" x14ac:dyDescent="0.2">
      <c r="K83" s="3"/>
    </row>
    <row r="84" spans="11:11" ht="16" x14ac:dyDescent="0.2">
      <c r="K84" s="3"/>
    </row>
    <row r="85" spans="11:11" ht="27.75" customHeight="1" x14ac:dyDescent="0.2">
      <c r="K85" s="3"/>
    </row>
    <row r="86" spans="11:11" ht="16" x14ac:dyDescent="0.2">
      <c r="K86" s="3"/>
    </row>
    <row r="87" spans="11:11" ht="16" x14ac:dyDescent="0.2">
      <c r="K87" s="3"/>
    </row>
    <row r="88" spans="11:11" ht="16" x14ac:dyDescent="0.2">
      <c r="K88" s="3"/>
    </row>
    <row r="90" spans="11:11" ht="12.75" customHeight="1" x14ac:dyDescent="0.15"/>
    <row r="91" spans="11:11" ht="18.75" customHeight="1" x14ac:dyDescent="0.15"/>
    <row r="92" spans="11:11" ht="12.75" customHeight="1" x14ac:dyDescent="0.15"/>
    <row r="93" spans="11:11" ht="12.75" customHeight="1" x14ac:dyDescent="0.15"/>
    <row r="94" spans="11:11" ht="12.75" customHeight="1" x14ac:dyDescent="0.15"/>
  </sheetData>
  <sheetProtection algorithmName="SHA-512" hashValue="j3MYkime9qhgdFaC2O4exo9xSDfTgRekX//dUiBLpmxwzSP6dE1uf1tiuI9C7ZksPOsJZqKdAw7kfRP81f3DPw==" saltValue="aYCsYZ16PLwkPDsVsiQKBw==" spinCount="100000" sheet="1" objects="1" scenarios="1"/>
  <mergeCells count="86">
    <mergeCell ref="L58:M58"/>
    <mergeCell ref="L59:M59"/>
    <mergeCell ref="L60:M60"/>
    <mergeCell ref="A61:J61"/>
    <mergeCell ref="N56:Q56"/>
    <mergeCell ref="G59:J59"/>
    <mergeCell ref="C59:F59"/>
    <mergeCell ref="A59:B59"/>
    <mergeCell ref="C58:F58"/>
    <mergeCell ref="A58:B58"/>
    <mergeCell ref="G58:J58"/>
    <mergeCell ref="R56:U56"/>
    <mergeCell ref="A57:B57"/>
    <mergeCell ref="C57:F57"/>
    <mergeCell ref="L57:M57"/>
    <mergeCell ref="L54:M54"/>
    <mergeCell ref="N54:Q54"/>
    <mergeCell ref="R54:U54"/>
    <mergeCell ref="L55:M55"/>
    <mergeCell ref="R55:U55"/>
    <mergeCell ref="G56:J56"/>
    <mergeCell ref="C54:F54"/>
    <mergeCell ref="G57:J57"/>
    <mergeCell ref="A54:B54"/>
    <mergeCell ref="G54:J54"/>
    <mergeCell ref="C56:F56"/>
    <mergeCell ref="A56:B56"/>
    <mergeCell ref="L53:M53"/>
    <mergeCell ref="N53:Q53"/>
    <mergeCell ref="R53:U53"/>
    <mergeCell ref="A51:B51"/>
    <mergeCell ref="C51:F51"/>
    <mergeCell ref="G51:J51"/>
    <mergeCell ref="L51:M51"/>
    <mergeCell ref="N51:Q51"/>
    <mergeCell ref="A53:B53"/>
    <mergeCell ref="C53:F53"/>
    <mergeCell ref="G53:J53"/>
    <mergeCell ref="A32:J32"/>
    <mergeCell ref="A34:J34"/>
    <mergeCell ref="R51:U51"/>
    <mergeCell ref="A52:B52"/>
    <mergeCell ref="C52:F52"/>
    <mergeCell ref="G52:J52"/>
    <mergeCell ref="L49:U49"/>
    <mergeCell ref="A50:B50"/>
    <mergeCell ref="C50:F50"/>
    <mergeCell ref="G50:J50"/>
    <mergeCell ref="L50:M50"/>
    <mergeCell ref="N50:Q50"/>
    <mergeCell ref="R50:U50"/>
    <mergeCell ref="A49:J49"/>
    <mergeCell ref="A26:J26"/>
    <mergeCell ref="A29:J29"/>
    <mergeCell ref="A24:J24"/>
    <mergeCell ref="A25:J25"/>
    <mergeCell ref="A28:J28"/>
    <mergeCell ref="G55:J55"/>
    <mergeCell ref="A45:J45"/>
    <mergeCell ref="A27:J27"/>
    <mergeCell ref="A41:J41"/>
    <mergeCell ref="A44:J44"/>
    <mergeCell ref="A39:J39"/>
    <mergeCell ref="A42:J42"/>
    <mergeCell ref="A35:J35"/>
    <mergeCell ref="A31:J31"/>
    <mergeCell ref="A38:J38"/>
    <mergeCell ref="A30:J30"/>
    <mergeCell ref="A40:J40"/>
    <mergeCell ref="A46:J46"/>
    <mergeCell ref="A48:J48"/>
    <mergeCell ref="A33:J33"/>
    <mergeCell ref="A36:J36"/>
    <mergeCell ref="A23:J23"/>
    <mergeCell ref="A5:J5"/>
    <mergeCell ref="A9:J9"/>
    <mergeCell ref="A7:J7"/>
    <mergeCell ref="A14:J14"/>
    <mergeCell ref="A13:J13"/>
    <mergeCell ref="A6:J6"/>
    <mergeCell ref="A8:J8"/>
    <mergeCell ref="A10:J10"/>
    <mergeCell ref="A18:J18"/>
    <mergeCell ref="A19:J19"/>
    <mergeCell ref="A22:J22"/>
    <mergeCell ref="A21:J21"/>
  </mergeCells>
  <phoneticPr fontId="0" type="noConversion"/>
  <hyperlinks>
    <hyperlink ref="A27" r:id="rId1" location="Accueil!A1" tooltip="Cliquez sur cette zone pour aller dans le plan" display="applewebdata://C05D1E5C-3D42-42BA-B965-D9BDC76FC47F/ - Accueil!A1" xr:uid="{51212AA8-EE6B-4DDC-91E2-148B8CB4FB48}"/>
    <hyperlink ref="A28" r:id="rId2" location="Accueil!A1" tooltip="Cliquez ici pour aller dans le plan" display="applewebdata://C05D1E5C-3D42-42BA-B965-D9BDC76FC47F/ - Accueil!A1" xr:uid="{F61EBABB-6D14-4103-B8A5-96B665A18C8B}"/>
    <hyperlink ref="A29" r:id="rId3" location="Accueil!A1" tooltip="Cliquez ici pour aller dans le plan" display="applewebdata://C05D1E5C-3D42-42BA-B965-D9BDC76FC47F/ - Accueil!A1" xr:uid="{8CC4886C-6DEC-4F9A-BD64-0248A06B1D40}"/>
    <hyperlink ref="A27:J27" location="'42,195 Km 6 ent.'!A1" tooltip="Cliquez sur cette zone pour aller dans le plan" display="Un plan sur 6 séances hebdomadaires" xr:uid="{A843D873-B8FF-40A4-B356-3C6FE40738D0}"/>
    <hyperlink ref="A28:J28" location="'42,195 Km 5 ent.'!A1" tooltip="Cliquez ici pour aller dans le plan" display="Un plan sur 5 séances hebdomadaires" xr:uid="{662151F6-A7A6-46A2-915D-04093B8A6B61}"/>
    <hyperlink ref="A29:J29" location="'42,195 Km 4 ent.'!A1" tooltip="Cliquez ici pour aller dans le plan" display="Un plan sur 4 séances hebdomadaires" xr:uid="{9D6B4E1C-505B-4C90-8500-578E39F7C954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DC7"/>
  </sheetPr>
  <dimension ref="A1:AR36"/>
  <sheetViews>
    <sheetView topLeftCell="A3" workbookViewId="0">
      <selection activeCell="E10" sqref="E10"/>
    </sheetView>
  </sheetViews>
  <sheetFormatPr baseColWidth="10" defaultRowHeight="13" x14ac:dyDescent="0.15"/>
  <cols>
    <col min="1" max="1" width="73.6640625" customWidth="1"/>
    <col min="2" max="2" width="10.6640625" customWidth="1"/>
    <col min="3" max="3" width="12.1640625" customWidth="1"/>
    <col min="4" max="4" width="47.5" customWidth="1"/>
    <col min="5" max="5" width="12.1640625" customWidth="1"/>
    <col min="6" max="6" width="8.33203125" customWidth="1"/>
    <col min="7" max="7" width="14.5" customWidth="1"/>
    <col min="8" max="8" width="16" customWidth="1"/>
    <col min="9" max="12" width="12.33203125" customWidth="1"/>
  </cols>
  <sheetData>
    <row r="1" spans="1:44" x14ac:dyDescent="0.15">
      <c r="AR1" s="109">
        <v>2000</v>
      </c>
    </row>
    <row r="2" spans="1:44" x14ac:dyDescent="0.15">
      <c r="AR2" s="109">
        <v>1600</v>
      </c>
    </row>
    <row r="3" spans="1:44" x14ac:dyDescent="0.15">
      <c r="AR3">
        <v>1200</v>
      </c>
    </row>
    <row r="6" spans="1:44" ht="14" thickBot="1" x14ac:dyDescent="0.2"/>
    <row r="7" spans="1:44" ht="18" customHeight="1" thickBot="1" x14ac:dyDescent="0.25">
      <c r="A7" s="315" t="s">
        <v>0</v>
      </c>
      <c r="B7" s="316"/>
      <c r="C7" s="316"/>
      <c r="D7" s="317"/>
      <c r="E7" s="318"/>
    </row>
    <row r="8" spans="1:44" ht="18" customHeight="1" thickBot="1" x14ac:dyDescent="0.25">
      <c r="A8" s="319" t="s">
        <v>19</v>
      </c>
      <c r="B8" s="320"/>
      <c r="C8" s="114" t="s">
        <v>128</v>
      </c>
      <c r="D8" s="321" t="s">
        <v>80</v>
      </c>
      <c r="E8" s="322"/>
    </row>
    <row r="9" spans="1:44" ht="18" customHeight="1" x14ac:dyDescent="0.15">
      <c r="A9" s="18" t="s">
        <v>206</v>
      </c>
      <c r="B9" s="19">
        <v>1200</v>
      </c>
      <c r="C9" s="323"/>
      <c r="D9" s="20" t="s">
        <v>223</v>
      </c>
      <c r="E9" s="122">
        <v>8.0555555555555561E-2</v>
      </c>
    </row>
    <row r="10" spans="1:44" ht="18" customHeight="1" thickBot="1" x14ac:dyDescent="0.2">
      <c r="A10" s="21" t="s">
        <v>82</v>
      </c>
      <c r="B10" s="22">
        <v>4.0277777777777777E-3</v>
      </c>
      <c r="C10" s="324"/>
      <c r="D10" s="32" t="s">
        <v>76</v>
      </c>
      <c r="E10" s="33">
        <v>44850</v>
      </c>
    </row>
    <row r="11" spans="1:44" ht="18" customHeight="1" thickBot="1" x14ac:dyDescent="0.2">
      <c r="A11" s="23" t="s">
        <v>24</v>
      </c>
      <c r="B11" s="24" t="str">
        <f>TEXT(cat_test_3/K_test,"mm:ss")</f>
        <v>04:50</v>
      </c>
      <c r="C11" s="324"/>
      <c r="D11" s="326" t="s">
        <v>15</v>
      </c>
      <c r="E11" s="327"/>
      <c r="F11" s="2"/>
    </row>
    <row r="12" spans="1:44" ht="18" customHeight="1" x14ac:dyDescent="0.15">
      <c r="A12" s="23" t="s">
        <v>25</v>
      </c>
      <c r="B12" s="25">
        <f>(HOUR(cat_test_3)*3600+MINUTE(cat_test_3)*60+SECOND(cat_test_3))/K_test</f>
        <v>290</v>
      </c>
      <c r="C12" s="324"/>
      <c r="D12" s="83" t="str">
        <f>IF(D_test=2000,"Temps test 2000m pour objectif:",IF(D_test=1600,"Temps test 1600m pour objectif:",IF(D_test=1200,"Temps test 1200m pour objectif:","")))</f>
        <v>Temps test 1200m pour objectif:</v>
      </c>
      <c r="E12" s="84" t="str">
        <f>TEXT(((objectif/(dist_semi/K_test))*k_semi),"h:mm:ss")</f>
        <v>0:05:40</v>
      </c>
    </row>
    <row r="13" spans="1:44" ht="18" customHeight="1" x14ac:dyDescent="0.15">
      <c r="A13" s="23" t="s">
        <v>1</v>
      </c>
      <c r="B13" s="26">
        <f>1000/cat_sec</f>
        <v>3.4482758620689653</v>
      </c>
      <c r="C13" s="324"/>
      <c r="D13" s="85" t="s">
        <v>16</v>
      </c>
      <c r="E13" s="88" t="str">
        <f>TEXT(((objectif/dist_semi)*k_semi),"hh:mm:ss")</f>
        <v>00:04:44</v>
      </c>
    </row>
    <row r="14" spans="1:44" ht="18" customHeight="1" x14ac:dyDescent="0.15">
      <c r="A14" s="23" t="s">
        <v>81</v>
      </c>
      <c r="B14" s="27">
        <f>1/cat_sec*3600</f>
        <v>12.413793103448276</v>
      </c>
      <c r="C14" s="324"/>
      <c r="D14" s="85" t="s">
        <v>218</v>
      </c>
      <c r="E14" s="88">
        <f>T_10k</f>
        <v>3.7352693602693603E-2</v>
      </c>
    </row>
    <row r="15" spans="1:44" ht="18" customHeight="1" thickBot="1" x14ac:dyDescent="0.2">
      <c r="A15" s="28" t="s">
        <v>31</v>
      </c>
      <c r="B15" s="29">
        <f>cat_kmh*ind_vma</f>
        <v>45.931034482758619</v>
      </c>
      <c r="C15" s="325"/>
      <c r="D15" s="129" t="s">
        <v>190</v>
      </c>
      <c r="E15" s="22"/>
      <c r="F15" s="4"/>
    </row>
    <row r="16" spans="1:44" ht="18" customHeight="1" x14ac:dyDescent="0.15">
      <c r="A16" s="313" t="s">
        <v>129</v>
      </c>
      <c r="B16" s="314"/>
      <c r="C16" s="120"/>
      <c r="D16" s="328" t="s">
        <v>224</v>
      </c>
      <c r="E16" s="112"/>
    </row>
    <row r="17" spans="1:5" ht="18" customHeight="1" thickBot="1" x14ac:dyDescent="0.2">
      <c r="A17" s="311" t="s">
        <v>130</v>
      </c>
      <c r="B17" s="312"/>
      <c r="C17" s="79">
        <v>173</v>
      </c>
      <c r="D17" s="329"/>
      <c r="E17" s="89"/>
    </row>
    <row r="18" spans="1:5" ht="18" customHeight="1" thickBot="1" x14ac:dyDescent="0.2">
      <c r="A18" s="309" t="s">
        <v>141</v>
      </c>
      <c r="B18" s="310"/>
      <c r="C18" s="118">
        <f>0.9*cp_max</f>
        <v>155.70000000000002</v>
      </c>
      <c r="D18" s="329"/>
      <c r="E18" s="89"/>
    </row>
    <row r="19" spans="1:5" ht="18" customHeight="1" thickBot="1" x14ac:dyDescent="0.2">
      <c r="A19" s="330" t="s">
        <v>227</v>
      </c>
      <c r="B19" s="331"/>
      <c r="C19" s="183">
        <v>49.5</v>
      </c>
      <c r="D19" s="329"/>
      <c r="E19" s="89"/>
    </row>
    <row r="20" spans="1:5" ht="18" customHeight="1" x14ac:dyDescent="0.15">
      <c r="A20" s="30" t="s">
        <v>79</v>
      </c>
      <c r="B20" s="40">
        <v>1000</v>
      </c>
      <c r="C20" s="80"/>
      <c r="D20" s="329"/>
      <c r="E20" s="90"/>
    </row>
    <row r="21" spans="1:5" ht="18" customHeight="1" x14ac:dyDescent="0.15">
      <c r="A21" s="37" t="s">
        <v>35</v>
      </c>
      <c r="B21" s="41" t="str">
        <f>TEXT(INT(B23/60),"00")&amp;":"&amp;TEXT(B23-(INT(B23/60)*60),"00")</f>
        <v>04:50</v>
      </c>
      <c r="C21" s="78"/>
      <c r="D21" s="87"/>
      <c r="E21" s="90"/>
    </row>
    <row r="22" spans="1:5" ht="18" customHeight="1" thickBot="1" x14ac:dyDescent="0.2">
      <c r="A22" s="37" t="s">
        <v>28</v>
      </c>
      <c r="B22" s="26">
        <f>B20/B23*3.6</f>
        <v>12.413793103448276</v>
      </c>
      <c r="C22" s="78"/>
      <c r="D22" s="86"/>
      <c r="E22" s="91"/>
    </row>
    <row r="23" spans="1:5" ht="18" customHeight="1" thickBot="1" x14ac:dyDescent="0.2">
      <c r="A23" s="37" t="s">
        <v>37</v>
      </c>
      <c r="B23" s="25">
        <f>dist_vma/(B13+(0.075*((1000-dist_vma)/1000)))</f>
        <v>290</v>
      </c>
      <c r="C23" s="39"/>
      <c r="D23" s="81" t="s">
        <v>225</v>
      </c>
      <c r="E23" s="82" t="str">
        <f>TEXT(objectif/dist_semi,"hh:mm:ss")</f>
        <v>00:05:30</v>
      </c>
    </row>
    <row r="24" spans="1:5" ht="18" customHeight="1" thickBot="1" x14ac:dyDescent="0.2">
      <c r="A24" s="37" t="s">
        <v>88</v>
      </c>
      <c r="B24" s="110" t="str">
        <f>TEXT(cat_test_3/K_test/0.89,"hh:mm:ss")</f>
        <v>00:05:26</v>
      </c>
      <c r="C24" s="39"/>
      <c r="D24" s="81" t="s">
        <v>228</v>
      </c>
      <c r="E24" s="144">
        <f>(0.2556*(objectif)^(-1.003))*0.94*C19*0.98</f>
        <v>145.7827687054592</v>
      </c>
    </row>
    <row r="25" spans="1:5" ht="18" customHeight="1" thickBot="1" x14ac:dyDescent="0.2">
      <c r="A25" s="37" t="s">
        <v>42</v>
      </c>
      <c r="B25" s="41">
        <f>cat_test_3/K_test/k_recup</f>
        <v>5.1638176638176634E-3</v>
      </c>
      <c r="C25" s="39"/>
      <c r="D25" s="36"/>
      <c r="E25" s="144">
        <f>dist_semi*1000*1.04*0.98*0.98*C19/((objectif)*86400)</f>
        <v>149.88697862068963</v>
      </c>
    </row>
    <row r="26" spans="1:5" ht="18" customHeight="1" x14ac:dyDescent="0.15">
      <c r="A26" s="37" t="s">
        <v>221</v>
      </c>
      <c r="B26" s="41">
        <f>cat_test_3/K_test/k_semi_2</f>
        <v>3.9028854435831182E-3</v>
      </c>
      <c r="C26" s="39"/>
      <c r="D26" s="36"/>
      <c r="E26" s="34"/>
    </row>
    <row r="27" spans="1:5" ht="18" customHeight="1" thickBot="1" x14ac:dyDescent="0.2">
      <c r="A27" s="38" t="s">
        <v>222</v>
      </c>
      <c r="B27" s="31">
        <f>cat_test_3/K_test/k_semi_2*dist_semi</f>
        <v>8.2350882859603805E-2</v>
      </c>
      <c r="C27" s="143">
        <f>cp_semi</f>
        <v>147.91500000000002</v>
      </c>
      <c r="D27" s="42"/>
      <c r="E27" s="35"/>
    </row>
    <row r="36" ht="19.5" customHeight="1" x14ac:dyDescent="0.15"/>
  </sheetData>
  <sheetProtection algorithmName="SHA-512" hashValue="/ug61tYnlp240hj2dxJOtqqpCoCPmUcYNk0/JWlE1GwM9tc5GthN9yLFNeIATRxMFVmK5GzN/zjKzm3yzKPiiQ==" saltValue="q5YcQYE734rwo90zKlmMjA==" spinCount="100000" sheet="1" objects="1" scenarios="1"/>
  <mergeCells count="10">
    <mergeCell ref="A18:B18"/>
    <mergeCell ref="A17:B17"/>
    <mergeCell ref="A16:B16"/>
    <mergeCell ref="A7:E7"/>
    <mergeCell ref="A8:B8"/>
    <mergeCell ref="D8:E8"/>
    <mergeCell ref="C9:C15"/>
    <mergeCell ref="D11:E11"/>
    <mergeCell ref="D16:D20"/>
    <mergeCell ref="A19:B19"/>
  </mergeCells>
  <phoneticPr fontId="0" type="noConversion"/>
  <dataValidations count="1">
    <dataValidation type="list" allowBlank="1" showInputMessage="1" showErrorMessage="1" sqref="B9" xr:uid="{00000000-0002-0000-0100-000000000000}">
      <formula1>$AR$1:$AR$3</formula1>
    </dataValidation>
  </dataValidations>
  <printOptions horizontalCentered="1" verticalCentered="1"/>
  <pageMargins left="0.2" right="0.27" top="0.36" bottom="0.78740157480314965" header="0.24" footer="0.51181102362204722"/>
  <pageSetup paperSize="9" firstPageNumber="0" orientation="landscape" horizontalDpi="300" verticalDpi="300"/>
  <headerFooter alignWithMargins="0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0E2DE52-B51A-4048-8400-8F2D8CB289C9}">
            <xm:f>v_vma&lt;=constantes!F27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expression" priority="2" stopIfTrue="1" id="{E6ABFE13-C4B1-934E-862B-7D3D1ECBF795}">
            <xm:f>v_vma&gt;constantes!F27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0"/>
  </sheetPr>
  <dimension ref="A3:S32"/>
  <sheetViews>
    <sheetView topLeftCell="A8" zoomScale="130" zoomScaleNormal="130" workbookViewId="0">
      <selection activeCell="N20" sqref="N20"/>
    </sheetView>
  </sheetViews>
  <sheetFormatPr baseColWidth="10" defaultRowHeight="34.25" customHeight="1" x14ac:dyDescent="0.15"/>
  <cols>
    <col min="1" max="1" width="5.1640625" customWidth="1"/>
    <col min="2" max="2" width="17.6640625" style="6" customWidth="1"/>
    <col min="3" max="3" width="7.6640625" customWidth="1"/>
    <col min="4" max="4" width="6.33203125" style="7" customWidth="1"/>
    <col min="5" max="5" width="5" customWidth="1"/>
    <col min="6" max="6" width="17.6640625" style="6" customWidth="1"/>
    <col min="7" max="7" width="7.6640625" customWidth="1"/>
    <col min="8" max="8" width="5.1640625" style="7" customWidth="1"/>
    <col min="9" max="9" width="5.1640625" customWidth="1"/>
    <col min="10" max="10" width="17.6640625" style="6" customWidth="1"/>
    <col min="11" max="11" width="7.6640625" customWidth="1"/>
    <col min="12" max="12" width="5" style="7" customWidth="1"/>
    <col min="13" max="13" width="4.6640625" customWidth="1"/>
    <col min="14" max="14" width="17.83203125" style="6" customWidth="1"/>
    <col min="15" max="15" width="8.33203125" customWidth="1"/>
    <col min="16" max="16" width="4.6640625" style="7" customWidth="1"/>
  </cols>
  <sheetData>
    <row r="3" spans="1:16" ht="24.5" customHeight="1" x14ac:dyDescent="0.15">
      <c r="N3" s="115"/>
    </row>
    <row r="4" spans="1:16" ht="34.25" customHeight="1" x14ac:dyDescent="0.15">
      <c r="A4" s="332" t="s">
        <v>230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</row>
    <row r="5" spans="1:16" s="150" customFormat="1" ht="34.25" customHeight="1" x14ac:dyDescent="0.15">
      <c r="A5" s="147"/>
      <c r="B5" s="148" t="str">
        <f>"semaine du "&amp;TEXT(mdate-83,"jj/mm")&amp;" au "&amp;TEXT(mdate-77,"jj/mm")</f>
        <v>semaine du 25/07 au 31/07</v>
      </c>
      <c r="C5" s="148" t="s">
        <v>231</v>
      </c>
      <c r="D5" s="149" t="s">
        <v>232</v>
      </c>
      <c r="E5" s="148"/>
      <c r="F5" s="148" t="str">
        <f>"semaine du "&amp;TEXT(mdate-76,"jj/mm")&amp;" au "&amp;TEXT(mdate-70,"jj/mm")</f>
        <v>semaine du 01/08 au 07/08</v>
      </c>
      <c r="G5" s="148" t="s">
        <v>231</v>
      </c>
      <c r="H5" s="149" t="s">
        <v>232</v>
      </c>
      <c r="I5" s="148"/>
      <c r="J5" s="148" t="str">
        <f>"semaine du "&amp;TEXT(mdate-69,"jj/mm")&amp;" au "&amp;TEXT(mdate-63,"jj/mm")</f>
        <v>semaine du 08/08 au 14/08</v>
      </c>
      <c r="K5" s="148" t="s">
        <v>231</v>
      </c>
      <c r="L5" s="149" t="s">
        <v>232</v>
      </c>
      <c r="M5" s="148"/>
      <c r="N5" s="148" t="str">
        <f>"semaine du "&amp;TEXT(mdate-62,"jj/mm")&amp;" au "&amp;TEXT(mdate-56,"jj/mm")</f>
        <v>semaine du 15/08 au 21/08</v>
      </c>
      <c r="O5" s="148" t="s">
        <v>231</v>
      </c>
      <c r="P5" s="149" t="s">
        <v>232</v>
      </c>
    </row>
    <row r="6" spans="1:16" ht="30" customHeight="1" x14ac:dyDescent="0.15">
      <c r="A6" s="151" t="s">
        <v>71</v>
      </c>
      <c r="B6" s="117" t="s">
        <v>14</v>
      </c>
      <c r="C6" s="152"/>
      <c r="D6" s="153"/>
      <c r="E6" s="151" t="s">
        <v>71</v>
      </c>
      <c r="F6" s="117" t="s">
        <v>14</v>
      </c>
      <c r="G6" s="152"/>
      <c r="H6" s="153"/>
      <c r="I6" s="151" t="s">
        <v>71</v>
      </c>
      <c r="J6" s="117" t="s">
        <v>14</v>
      </c>
      <c r="K6" s="152"/>
      <c r="L6" s="153"/>
      <c r="M6" s="151" t="s">
        <v>71</v>
      </c>
      <c r="N6" s="117" t="s">
        <v>14</v>
      </c>
      <c r="O6" s="152"/>
      <c r="P6" s="153"/>
    </row>
    <row r="7" spans="1:16" ht="34.25" customHeight="1" x14ac:dyDescent="0.15">
      <c r="A7" s="151" t="s">
        <v>70</v>
      </c>
      <c r="B7" s="154" t="s">
        <v>52</v>
      </c>
      <c r="C7" s="152">
        <f>T_endu</f>
        <v>4.4419419419419416E-3</v>
      </c>
      <c r="D7" s="153">
        <f>cp_endu</f>
        <v>132.345</v>
      </c>
      <c r="E7" s="151" t="s">
        <v>70</v>
      </c>
      <c r="F7" s="154" t="s">
        <v>52</v>
      </c>
      <c r="G7" s="152">
        <f>T_endu</f>
        <v>4.4419419419419416E-3</v>
      </c>
      <c r="H7" s="153">
        <f>cp_endu</f>
        <v>132.345</v>
      </c>
      <c r="I7" s="151" t="s">
        <v>70</v>
      </c>
      <c r="J7" s="154" t="s">
        <v>77</v>
      </c>
      <c r="K7" s="152">
        <f>T_endu</f>
        <v>4.4419419419419416E-3</v>
      </c>
      <c r="L7" s="153">
        <f>cp_endu</f>
        <v>132.345</v>
      </c>
      <c r="M7" s="151" t="s">
        <v>70</v>
      </c>
      <c r="N7" s="154" t="s">
        <v>77</v>
      </c>
      <c r="O7" s="152">
        <f>T_endu</f>
        <v>4.4419419419419416E-3</v>
      </c>
      <c r="P7" s="153">
        <f>cp_endu</f>
        <v>132.345</v>
      </c>
    </row>
    <row r="8" spans="1:16" ht="39.75" customHeight="1" x14ac:dyDescent="0.15">
      <c r="A8" s="151" t="s">
        <v>65</v>
      </c>
      <c r="B8" s="155" t="s">
        <v>233</v>
      </c>
      <c r="C8" s="152">
        <f>T_2000</f>
        <v>3.6522633744855964E-3</v>
      </c>
      <c r="D8" s="153">
        <f>cp_800</f>
        <v>163.48500000000001</v>
      </c>
      <c r="E8" s="151" t="s">
        <v>65</v>
      </c>
      <c r="F8" s="155" t="s">
        <v>234</v>
      </c>
      <c r="G8" s="152">
        <f>T_2000</f>
        <v>3.6522633744855964E-3</v>
      </c>
      <c r="H8" s="153">
        <f>cp_800</f>
        <v>163.48500000000001</v>
      </c>
      <c r="I8" s="151" t="s">
        <v>65</v>
      </c>
      <c r="J8" s="155" t="s">
        <v>235</v>
      </c>
      <c r="K8" s="152">
        <f>T_2000</f>
        <v>3.6522633744855964E-3</v>
      </c>
      <c r="L8" s="153">
        <f>cp_800</f>
        <v>163.48500000000001</v>
      </c>
      <c r="M8" s="151" t="s">
        <v>65</v>
      </c>
      <c r="N8" s="155" t="s">
        <v>268</v>
      </c>
      <c r="O8" s="152">
        <f>T_2000</f>
        <v>3.6522633744855964E-3</v>
      </c>
      <c r="P8" s="153">
        <f>cp_800</f>
        <v>163.48500000000001</v>
      </c>
    </row>
    <row r="9" spans="1:16" ht="34.25" customHeight="1" x14ac:dyDescent="0.15">
      <c r="A9" s="151" t="s">
        <v>69</v>
      </c>
      <c r="B9" s="154" t="s">
        <v>90</v>
      </c>
      <c r="C9" s="152">
        <f>T_endu</f>
        <v>4.4419419419419416E-3</v>
      </c>
      <c r="D9" s="153">
        <f>cp_endu</f>
        <v>132.345</v>
      </c>
      <c r="E9" s="151" t="s">
        <v>69</v>
      </c>
      <c r="F9" s="154" t="s">
        <v>91</v>
      </c>
      <c r="G9" s="152">
        <f>T_endu</f>
        <v>4.4419419419419416E-3</v>
      </c>
      <c r="H9" s="153">
        <f>cp_endu</f>
        <v>132.345</v>
      </c>
      <c r="I9" s="151" t="s">
        <v>69</v>
      </c>
      <c r="J9" s="154" t="s">
        <v>52</v>
      </c>
      <c r="K9" s="152">
        <f>T_endu</f>
        <v>4.4419419419419416E-3</v>
      </c>
      <c r="L9" s="153">
        <f>cp_endu</f>
        <v>132.345</v>
      </c>
      <c r="M9" s="151" t="s">
        <v>69</v>
      </c>
      <c r="N9" s="117" t="s">
        <v>14</v>
      </c>
      <c r="O9" s="152"/>
      <c r="P9" s="153"/>
    </row>
    <row r="10" spans="1:16" ht="34.25" customHeight="1" x14ac:dyDescent="0.15">
      <c r="A10" s="151" t="s">
        <v>66</v>
      </c>
      <c r="B10" s="117" t="s">
        <v>14</v>
      </c>
      <c r="C10" s="152"/>
      <c r="D10" s="153"/>
      <c r="E10" s="151" t="s">
        <v>66</v>
      </c>
      <c r="F10" s="117" t="s">
        <v>14</v>
      </c>
      <c r="G10" s="152"/>
      <c r="H10" s="153"/>
      <c r="I10" s="151" t="s">
        <v>66</v>
      </c>
      <c r="J10" s="117" t="s">
        <v>14</v>
      </c>
      <c r="K10" s="152"/>
      <c r="L10" s="153"/>
      <c r="M10" s="151" t="s">
        <v>66</v>
      </c>
      <c r="N10" s="156" t="s">
        <v>278</v>
      </c>
      <c r="O10" s="157">
        <f>T_recup</f>
        <v>5.0569800569800561E-3</v>
      </c>
      <c r="P10" s="158">
        <f>cp_recup</f>
        <v>108.99000000000001</v>
      </c>
    </row>
    <row r="11" spans="1:16" ht="37.5" customHeight="1" x14ac:dyDescent="0.15">
      <c r="A11" s="151" t="s">
        <v>67</v>
      </c>
      <c r="B11" s="159" t="s">
        <v>209</v>
      </c>
      <c r="C11" s="152">
        <f>T_20k</f>
        <v>3.8221360895779495E-3</v>
      </c>
      <c r="D11" s="153">
        <f>cp_3000</f>
        <v>147.91500000000002</v>
      </c>
      <c r="E11" s="151" t="s">
        <v>67</v>
      </c>
      <c r="F11" s="159" t="s">
        <v>210</v>
      </c>
      <c r="G11" s="152">
        <f>T_20k</f>
        <v>3.8221360895779495E-3</v>
      </c>
      <c r="H11" s="153">
        <f>cp_3000</f>
        <v>147.91500000000002</v>
      </c>
      <c r="I11" s="151" t="s">
        <v>67</v>
      </c>
      <c r="J11" s="160" t="s">
        <v>92</v>
      </c>
      <c r="K11" s="152">
        <f>constantes!B54</f>
        <v>5.7165861513687596E-4</v>
      </c>
      <c r="L11" s="153">
        <f>cp_200</f>
        <v>194.62500000000003</v>
      </c>
      <c r="M11" s="151" t="s">
        <v>67</v>
      </c>
      <c r="N11" s="161" t="s">
        <v>173</v>
      </c>
      <c r="O11" s="162">
        <f>T_recup</f>
        <v>5.0569800569800561E-3</v>
      </c>
      <c r="P11" s="163">
        <f>cp_recup</f>
        <v>108.99000000000001</v>
      </c>
    </row>
    <row r="12" spans="1:16" ht="34.25" customHeight="1" x14ac:dyDescent="0.15">
      <c r="A12" s="151" t="s">
        <v>68</v>
      </c>
      <c r="B12" s="164" t="s">
        <v>174</v>
      </c>
      <c r="C12" s="152">
        <f>T_recup</f>
        <v>5.0569800569800561E-3</v>
      </c>
      <c r="D12" s="153">
        <f>cp_recup</f>
        <v>108.99000000000001</v>
      </c>
      <c r="E12" s="151" t="s">
        <v>68</v>
      </c>
      <c r="F12" s="164" t="s">
        <v>94</v>
      </c>
      <c r="G12" s="152">
        <f>T_recup</f>
        <v>5.0569800569800561E-3</v>
      </c>
      <c r="H12" s="165">
        <f>cp_recup</f>
        <v>108.99000000000001</v>
      </c>
      <c r="I12" s="151" t="s">
        <v>68</v>
      </c>
      <c r="J12" s="164" t="s">
        <v>175</v>
      </c>
      <c r="K12" s="152">
        <f>T_recup</f>
        <v>5.0569800569800561E-3</v>
      </c>
      <c r="L12" s="165">
        <f>cp_recup</f>
        <v>108.99000000000001</v>
      </c>
      <c r="M12" s="151" t="s">
        <v>68</v>
      </c>
      <c r="N12" s="166" t="s">
        <v>96</v>
      </c>
      <c r="O12" s="167">
        <f>T_2000</f>
        <v>3.6522633744855964E-3</v>
      </c>
      <c r="P12" s="163">
        <f>cp_2000</f>
        <v>151.02900000000002</v>
      </c>
    </row>
    <row r="14" spans="1:16" ht="34.25" customHeight="1" x14ac:dyDescent="0.15">
      <c r="A14" s="332" t="s">
        <v>236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</row>
    <row r="15" spans="1:16" s="169" customFormat="1" ht="34.25" customHeight="1" x14ac:dyDescent="0.15">
      <c r="A15" s="168"/>
      <c r="B15" s="148" t="str">
        <f>"semaine du "&amp;TEXT(mdate-55,"jj/mm")&amp;" au "&amp;TEXT(mdate-49,"jj/mm")</f>
        <v>semaine du 22/08 au 28/08</v>
      </c>
      <c r="C15" s="148" t="s">
        <v>231</v>
      </c>
      <c r="D15" s="149" t="s">
        <v>232</v>
      </c>
      <c r="E15" s="168"/>
      <c r="F15" s="148" t="str">
        <f>"semaine du "&amp;TEXT(mdate-48,"jj/mm")&amp;" au "&amp;TEXT(mdate-42,"jj/mm")</f>
        <v>semaine du 29/08 au 04/09</v>
      </c>
      <c r="G15" s="148" t="s">
        <v>231</v>
      </c>
      <c r="H15" s="149" t="s">
        <v>232</v>
      </c>
      <c r="I15" s="168"/>
      <c r="J15" s="148" t="str">
        <f>"semaine du "&amp;TEXT(mdate-41,"jj/mm")&amp;" au "&amp;TEXT(mdate-35,"jj/mm")</f>
        <v>semaine du 05/09 au 11/09</v>
      </c>
      <c r="K15" s="148" t="s">
        <v>231</v>
      </c>
      <c r="L15" s="149" t="s">
        <v>232</v>
      </c>
      <c r="M15" s="168"/>
      <c r="N15" s="148" t="str">
        <f>"semaine du "&amp;TEXT(mdate-34,"jj/mm")&amp;" au "&amp;TEXT(mdate-28,"jj/mm")</f>
        <v>semaine du 12/09 au 18/09</v>
      </c>
      <c r="O15" s="148" t="s">
        <v>231</v>
      </c>
      <c r="P15" s="149" t="s">
        <v>232</v>
      </c>
    </row>
    <row r="16" spans="1:16" ht="29.5" customHeight="1" x14ac:dyDescent="0.15">
      <c r="A16" s="151" t="s">
        <v>71</v>
      </c>
      <c r="B16" s="117" t="s">
        <v>14</v>
      </c>
      <c r="C16" s="152"/>
      <c r="D16" s="153"/>
      <c r="E16" s="151" t="s">
        <v>71</v>
      </c>
      <c r="F16" s="117" t="s">
        <v>14</v>
      </c>
      <c r="G16" s="152"/>
      <c r="H16" s="153"/>
      <c r="I16" s="151" t="s">
        <v>71</v>
      </c>
      <c r="J16" s="117" t="s">
        <v>14</v>
      </c>
      <c r="K16" s="152"/>
      <c r="L16" s="153"/>
      <c r="M16" s="151" t="s">
        <v>71</v>
      </c>
      <c r="N16" s="117" t="s">
        <v>14</v>
      </c>
      <c r="O16" s="152"/>
      <c r="P16" s="153"/>
    </row>
    <row r="17" spans="1:19" ht="34.25" customHeight="1" x14ac:dyDescent="0.15">
      <c r="A17" s="151" t="s">
        <v>70</v>
      </c>
      <c r="B17" s="164" t="s">
        <v>176</v>
      </c>
      <c r="C17" s="152">
        <f>T_recup</f>
        <v>5.0569800569800561E-3</v>
      </c>
      <c r="D17" s="153">
        <f>cp_recup</f>
        <v>108.99000000000001</v>
      </c>
      <c r="E17" s="151" t="s">
        <v>70</v>
      </c>
      <c r="F17" s="154" t="s">
        <v>3</v>
      </c>
      <c r="G17" s="152">
        <f>T_endu</f>
        <v>4.4419419419419416E-3</v>
      </c>
      <c r="H17" s="153">
        <f>cp_endu</f>
        <v>132.345</v>
      </c>
      <c r="I17" s="151" t="s">
        <v>70</v>
      </c>
      <c r="J17" s="154" t="s">
        <v>77</v>
      </c>
      <c r="K17" s="152">
        <f>T_endu</f>
        <v>4.4419419419419416E-3</v>
      </c>
      <c r="L17" s="153">
        <f>cp_endu</f>
        <v>132.345</v>
      </c>
      <c r="M17" s="151" t="s">
        <v>70</v>
      </c>
      <c r="N17" s="154" t="s">
        <v>3</v>
      </c>
      <c r="O17" s="152">
        <f>T_endu</f>
        <v>4.4419419419419416E-3</v>
      </c>
      <c r="P17" s="153">
        <f>cp_endu</f>
        <v>132.345</v>
      </c>
    </row>
    <row r="18" spans="1:19" ht="39.75" customHeight="1" x14ac:dyDescent="0.15">
      <c r="A18" s="151" t="s">
        <v>65</v>
      </c>
      <c r="B18" s="155" t="s">
        <v>237</v>
      </c>
      <c r="C18" s="152">
        <f>T_2000</f>
        <v>3.6522633744855964E-3</v>
      </c>
      <c r="D18" s="153">
        <f>cp_800</f>
        <v>163.48500000000001</v>
      </c>
      <c r="E18" s="151" t="s">
        <v>65</v>
      </c>
      <c r="F18" s="155" t="s">
        <v>238</v>
      </c>
      <c r="G18" s="152">
        <f>T_2000</f>
        <v>3.6522633744855964E-3</v>
      </c>
      <c r="H18" s="153">
        <f>cp_800</f>
        <v>163.48500000000001</v>
      </c>
      <c r="I18" s="151" t="s">
        <v>65</v>
      </c>
      <c r="J18" s="155" t="s">
        <v>239</v>
      </c>
      <c r="K18" s="152">
        <f>T_2000</f>
        <v>3.6522633744855964E-3</v>
      </c>
      <c r="L18" s="153">
        <f>cp_800</f>
        <v>163.48500000000001</v>
      </c>
      <c r="M18" s="151" t="s">
        <v>65</v>
      </c>
      <c r="N18" s="159" t="s">
        <v>260</v>
      </c>
      <c r="O18" s="152">
        <f>T_20k</f>
        <v>3.8221360895779495E-3</v>
      </c>
      <c r="P18" s="153">
        <f>cp_3000</f>
        <v>147.91500000000002</v>
      </c>
    </row>
    <row r="19" spans="1:19" ht="34.25" customHeight="1" x14ac:dyDescent="0.15">
      <c r="A19" s="151" t="s">
        <v>69</v>
      </c>
      <c r="B19" s="154" t="s">
        <v>77</v>
      </c>
      <c r="C19" s="152">
        <f>T_endu</f>
        <v>4.4419419419419416E-3</v>
      </c>
      <c r="D19" s="153">
        <f>cp_endu</f>
        <v>132.345</v>
      </c>
      <c r="E19" s="151" t="s">
        <v>69</v>
      </c>
      <c r="F19" s="154" t="s">
        <v>52</v>
      </c>
      <c r="G19" s="152">
        <f>T_endu</f>
        <v>4.4419419419419416E-3</v>
      </c>
      <c r="H19" s="153">
        <f>cp_endu</f>
        <v>132.345</v>
      </c>
      <c r="I19" s="151" t="s">
        <v>69</v>
      </c>
      <c r="J19" s="154" t="s">
        <v>52</v>
      </c>
      <c r="K19" s="152">
        <f>T_endu</f>
        <v>4.4419419419419416E-3</v>
      </c>
      <c r="L19" s="153">
        <f>cp_endu</f>
        <v>132.345</v>
      </c>
      <c r="M19" s="151" t="s">
        <v>69</v>
      </c>
      <c r="N19" s="117" t="s">
        <v>14</v>
      </c>
      <c r="O19" s="152"/>
      <c r="P19" s="153"/>
    </row>
    <row r="20" spans="1:19" ht="34.25" customHeight="1" x14ac:dyDescent="0.15">
      <c r="A20" s="151" t="s">
        <v>66</v>
      </c>
      <c r="B20" s="117" t="s">
        <v>14</v>
      </c>
      <c r="C20" s="152"/>
      <c r="D20" s="153"/>
      <c r="E20" s="151" t="s">
        <v>66</v>
      </c>
      <c r="F20" s="117" t="s">
        <v>14</v>
      </c>
      <c r="G20" s="152"/>
      <c r="H20" s="153"/>
      <c r="I20" s="151" t="s">
        <v>66</v>
      </c>
      <c r="J20" s="117" t="s">
        <v>14</v>
      </c>
      <c r="K20" s="152"/>
      <c r="L20" s="153"/>
      <c r="M20" s="151" t="s">
        <v>66</v>
      </c>
      <c r="N20" s="156" t="s">
        <v>278</v>
      </c>
      <c r="O20" s="157">
        <f>T_recup</f>
        <v>5.0569800569800561E-3</v>
      </c>
      <c r="P20" s="158">
        <f>cp_recup</f>
        <v>108.99000000000001</v>
      </c>
    </row>
    <row r="21" spans="1:19" ht="37.5" customHeight="1" x14ac:dyDescent="0.15">
      <c r="A21" s="151" t="s">
        <v>67</v>
      </c>
      <c r="B21" s="160" t="s">
        <v>98</v>
      </c>
      <c r="C21" s="152">
        <f>constantes!B55</f>
        <v>9.320520898970805E-4</v>
      </c>
      <c r="D21" s="153">
        <f>cp_200</f>
        <v>194.62500000000003</v>
      </c>
      <c r="E21" s="151" t="s">
        <v>67</v>
      </c>
      <c r="F21" s="159" t="s">
        <v>211</v>
      </c>
      <c r="G21" s="152">
        <f>T_20k</f>
        <v>3.8221360895779495E-3</v>
      </c>
      <c r="H21" s="153">
        <f>cp_3000</f>
        <v>147.91500000000002</v>
      </c>
      <c r="I21" s="151" t="s">
        <v>67</v>
      </c>
      <c r="J21" s="170" t="s">
        <v>118</v>
      </c>
      <c r="K21" s="152">
        <f>constantes!B56</f>
        <v>1.3148148148148147E-3</v>
      </c>
      <c r="L21" s="153">
        <f>cp_400</f>
        <v>174.38400000000004</v>
      </c>
      <c r="M21" s="151" t="s">
        <v>67</v>
      </c>
      <c r="N21" s="161" t="s">
        <v>173</v>
      </c>
      <c r="O21" s="162">
        <f>T_recup</f>
        <v>5.0569800569800561E-3</v>
      </c>
      <c r="P21" s="163">
        <f>cp_recup</f>
        <v>108.99000000000001</v>
      </c>
    </row>
    <row r="22" spans="1:19" ht="34.25" customHeight="1" x14ac:dyDescent="0.15">
      <c r="A22" s="151" t="s">
        <v>68</v>
      </c>
      <c r="B22" s="164" t="s">
        <v>93</v>
      </c>
      <c r="C22" s="152">
        <f>T_recup</f>
        <v>5.0569800569800561E-3</v>
      </c>
      <c r="D22" s="153">
        <f>cp_recup</f>
        <v>108.99000000000001</v>
      </c>
      <c r="E22" s="151" t="s">
        <v>68</v>
      </c>
      <c r="F22" s="164" t="s">
        <v>177</v>
      </c>
      <c r="G22" s="152">
        <f>T_recup</f>
        <v>5.0569800569800561E-3</v>
      </c>
      <c r="H22" s="153">
        <f>cp_recup</f>
        <v>108.99000000000001</v>
      </c>
      <c r="I22" s="151" t="s">
        <v>68</v>
      </c>
      <c r="J22" s="164" t="s">
        <v>175</v>
      </c>
      <c r="K22" s="152">
        <f>T_recup</f>
        <v>5.0569800569800561E-3</v>
      </c>
      <c r="L22" s="153">
        <f>cp_recup</f>
        <v>108.99000000000001</v>
      </c>
      <c r="M22" s="151" t="s">
        <v>68</v>
      </c>
      <c r="N22" s="166" t="s">
        <v>95</v>
      </c>
      <c r="O22" s="167">
        <f>T_20k</f>
        <v>3.8221360895779495E-3</v>
      </c>
      <c r="P22" s="163">
        <f>cp_semi</f>
        <v>147.91500000000002</v>
      </c>
    </row>
    <row r="24" spans="1:19" ht="34.25" customHeight="1" x14ac:dyDescent="0.15">
      <c r="A24" s="332" t="s">
        <v>240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</row>
    <row r="25" spans="1:19" s="169" customFormat="1" ht="34.25" customHeight="1" x14ac:dyDescent="0.15">
      <c r="A25" s="147"/>
      <c r="B25" s="148" t="str">
        <f>"semaine du "&amp;TEXT(mdate-27,"jj/mm")&amp;" au "&amp;TEXT(mdate-21,"jj/mm")</f>
        <v>semaine du 19/09 au 25/09</v>
      </c>
      <c r="C25" s="148" t="s">
        <v>231</v>
      </c>
      <c r="D25" s="149" t="s">
        <v>232</v>
      </c>
      <c r="E25" s="148"/>
      <c r="F25" s="148" t="str">
        <f>"semaine du "&amp;TEXT(mdate-20,"jj/mm")&amp;" au "&amp;TEXT(mdate-14,"jj/mm")</f>
        <v>semaine du 26/09 au 02/10</v>
      </c>
      <c r="G25" s="148" t="s">
        <v>231</v>
      </c>
      <c r="H25" s="149" t="s">
        <v>232</v>
      </c>
      <c r="I25" s="148"/>
      <c r="J25" s="148" t="str">
        <f>"semaine du "&amp;TEXT(mdate-13,"jj/mm")&amp;" au "&amp;TEXT(mdate-7,"jj/mm")</f>
        <v>semaine du 03/10 au 09/10</v>
      </c>
      <c r="K25" s="148" t="s">
        <v>231</v>
      </c>
      <c r="L25" s="149" t="s">
        <v>232</v>
      </c>
      <c r="M25" s="148"/>
      <c r="N25" s="148" t="str">
        <f>"semaine du "&amp;TEXT(mdate-6,"jj/mm")&amp;" au "&amp;TEXT(mdate,"jj/mm")</f>
        <v>semaine du 10/10 au 16/10</v>
      </c>
      <c r="O25" s="148" t="s">
        <v>231</v>
      </c>
      <c r="P25" s="149" t="s">
        <v>232</v>
      </c>
    </row>
    <row r="26" spans="1:19" ht="29.5" customHeight="1" x14ac:dyDescent="0.15">
      <c r="A26" s="151" t="s">
        <v>71</v>
      </c>
      <c r="B26" s="117" t="s">
        <v>14</v>
      </c>
      <c r="C26" s="152"/>
      <c r="D26" s="153"/>
      <c r="E26" s="151" t="s">
        <v>71</v>
      </c>
      <c r="F26" s="117" t="s">
        <v>14</v>
      </c>
      <c r="G26" s="152"/>
      <c r="H26" s="153"/>
      <c r="I26" s="151" t="s">
        <v>71</v>
      </c>
      <c r="J26" s="117" t="s">
        <v>14</v>
      </c>
      <c r="K26" s="152"/>
      <c r="L26" s="153"/>
      <c r="M26" s="151" t="s">
        <v>71</v>
      </c>
      <c r="N26" s="117" t="s">
        <v>14</v>
      </c>
      <c r="O26" s="152"/>
      <c r="P26" s="153"/>
    </row>
    <row r="27" spans="1:19" ht="34.25" customHeight="1" x14ac:dyDescent="0.15">
      <c r="A27" s="151" t="s">
        <v>70</v>
      </c>
      <c r="B27" s="164" t="s">
        <v>178</v>
      </c>
      <c r="C27" s="152">
        <f>T_recup</f>
        <v>5.0569800569800561E-3</v>
      </c>
      <c r="D27" s="153">
        <f>cp_recup</f>
        <v>108.99000000000001</v>
      </c>
      <c r="E27" s="151" t="s">
        <v>70</v>
      </c>
      <c r="F27" s="154" t="s">
        <v>3</v>
      </c>
      <c r="G27" s="152">
        <f>T_endu</f>
        <v>4.4419419419419416E-3</v>
      </c>
      <c r="H27" s="153">
        <f>cp_endu</f>
        <v>132.345</v>
      </c>
      <c r="I27" s="151" t="s">
        <v>70</v>
      </c>
      <c r="J27" s="154" t="s">
        <v>3</v>
      </c>
      <c r="K27" s="152">
        <f>T_endu</f>
        <v>4.4419419419419416E-3</v>
      </c>
      <c r="L27" s="153">
        <f>cp_endu</f>
        <v>132.345</v>
      </c>
      <c r="M27" s="151" t="s">
        <v>70</v>
      </c>
      <c r="N27" s="159" t="s">
        <v>261</v>
      </c>
      <c r="O27" s="152">
        <f>(vma_obj_km)/88.5%</f>
        <v>3.7141661435446741E-3</v>
      </c>
      <c r="P27" s="153">
        <f>cp_3000</f>
        <v>147.91500000000002</v>
      </c>
    </row>
    <row r="28" spans="1:19" ht="39" customHeight="1" x14ac:dyDescent="0.15">
      <c r="A28" s="151" t="s">
        <v>65</v>
      </c>
      <c r="B28" s="155" t="s">
        <v>241</v>
      </c>
      <c r="C28" s="152">
        <f>T_2000</f>
        <v>3.6522633744855964E-3</v>
      </c>
      <c r="D28" s="153">
        <f>cp_800</f>
        <v>163.48500000000001</v>
      </c>
      <c r="E28" s="151" t="s">
        <v>65</v>
      </c>
      <c r="F28" s="170" t="s">
        <v>179</v>
      </c>
      <c r="G28" s="152">
        <f>constantes!B57</f>
        <v>1.6435185185185183E-3</v>
      </c>
      <c r="H28" s="153">
        <f>cp_400</f>
        <v>174.38400000000004</v>
      </c>
      <c r="I28" s="151" t="s">
        <v>65</v>
      </c>
      <c r="J28" s="155" t="s">
        <v>269</v>
      </c>
      <c r="K28" s="152">
        <f>T_2000</f>
        <v>3.6522633744855964E-3</v>
      </c>
      <c r="L28" s="153">
        <f>cp_800</f>
        <v>163.48500000000001</v>
      </c>
      <c r="M28" s="151" t="s">
        <v>65</v>
      </c>
      <c r="N28" s="164" t="s">
        <v>108</v>
      </c>
      <c r="O28" s="152">
        <f>T_recup</f>
        <v>5.0569800569800561E-3</v>
      </c>
      <c r="P28" s="153">
        <f>fc_repos+(z_travail*0.92)</f>
        <v>136.08180000000002</v>
      </c>
    </row>
    <row r="29" spans="1:19" ht="34.25" customHeight="1" x14ac:dyDescent="0.15">
      <c r="A29" s="151" t="s">
        <v>69</v>
      </c>
      <c r="B29" s="154" t="s">
        <v>3</v>
      </c>
      <c r="C29" s="152">
        <f>T_endu</f>
        <v>4.4419419419419416E-3</v>
      </c>
      <c r="D29" s="153">
        <f>cp_endu</f>
        <v>132.345</v>
      </c>
      <c r="E29" s="151" t="s">
        <v>69</v>
      </c>
      <c r="F29" s="154" t="s">
        <v>3</v>
      </c>
      <c r="G29" s="152">
        <f>T_endu</f>
        <v>4.4419419419419416E-3</v>
      </c>
      <c r="H29" s="153">
        <f>cp_endu</f>
        <v>132.345</v>
      </c>
      <c r="I29" s="151" t="s">
        <v>69</v>
      </c>
      <c r="J29" s="164" t="s">
        <v>115</v>
      </c>
      <c r="K29" s="152">
        <f>T_recup</f>
        <v>5.0569800569800561E-3</v>
      </c>
      <c r="L29" s="153">
        <f>cp_recup</f>
        <v>108.99000000000001</v>
      </c>
      <c r="M29" s="151" t="s">
        <v>69</v>
      </c>
      <c r="N29" s="117" t="s">
        <v>14</v>
      </c>
      <c r="O29" s="152"/>
      <c r="P29" s="153"/>
      <c r="S29" s="116"/>
    </row>
    <row r="30" spans="1:19" ht="34.25" customHeight="1" x14ac:dyDescent="0.15">
      <c r="A30" s="151" t="s">
        <v>66</v>
      </c>
      <c r="B30" s="117" t="s">
        <v>14</v>
      </c>
      <c r="C30" s="152"/>
      <c r="D30" s="153"/>
      <c r="E30" s="151" t="s">
        <v>66</v>
      </c>
      <c r="F30" s="117" t="s">
        <v>14</v>
      </c>
      <c r="G30" s="152"/>
      <c r="H30" s="153"/>
      <c r="I30" s="151" t="s">
        <v>66</v>
      </c>
      <c r="J30" s="117" t="s">
        <v>14</v>
      </c>
      <c r="K30" s="152"/>
      <c r="L30" s="153"/>
      <c r="M30" s="151" t="s">
        <v>66</v>
      </c>
      <c r="N30" s="156" t="s">
        <v>278</v>
      </c>
      <c r="O30" s="157">
        <f>T_recup</f>
        <v>5.0569800569800561E-3</v>
      </c>
      <c r="P30" s="158">
        <f>cp_recup</f>
        <v>108.99000000000001</v>
      </c>
    </row>
    <row r="31" spans="1:19" ht="37.5" customHeight="1" x14ac:dyDescent="0.15">
      <c r="A31" s="151" t="s">
        <v>67</v>
      </c>
      <c r="B31" s="159" t="s">
        <v>208</v>
      </c>
      <c r="C31" s="152">
        <f>T_20k</f>
        <v>3.8221360895779495E-3</v>
      </c>
      <c r="D31" s="153">
        <f>cp_3000</f>
        <v>147.91500000000002</v>
      </c>
      <c r="E31" s="151" t="s">
        <v>67</v>
      </c>
      <c r="F31" s="159" t="s">
        <v>262</v>
      </c>
      <c r="G31" s="152">
        <f>T_20k</f>
        <v>3.8221360895779495E-3</v>
      </c>
      <c r="H31" s="153">
        <f>cp_3000</f>
        <v>147.91500000000002</v>
      </c>
      <c r="I31" s="151" t="s">
        <v>67</v>
      </c>
      <c r="J31" s="159" t="s">
        <v>207</v>
      </c>
      <c r="K31" s="152">
        <f>T_20k</f>
        <v>3.8221360895779495E-3</v>
      </c>
      <c r="L31" s="153">
        <f>cp_3000</f>
        <v>147.91500000000002</v>
      </c>
      <c r="M31" s="151" t="s">
        <v>67</v>
      </c>
      <c r="N31" s="161" t="s">
        <v>173</v>
      </c>
      <c r="O31" s="162">
        <f>T_recup</f>
        <v>5.0569800569800561E-3</v>
      </c>
      <c r="P31" s="163">
        <f>cp_recup</f>
        <v>108.99000000000001</v>
      </c>
    </row>
    <row r="32" spans="1:19" ht="34.25" customHeight="1" x14ac:dyDescent="0.15">
      <c r="A32" s="151" t="s">
        <v>68</v>
      </c>
      <c r="B32" s="164" t="s">
        <v>212</v>
      </c>
      <c r="C32" s="171">
        <f>T_20k</f>
        <v>3.8221360895779495E-3</v>
      </c>
      <c r="D32" s="172">
        <f>T_recup</f>
        <v>5.0569800569800561E-3</v>
      </c>
      <c r="E32" s="151" t="s">
        <v>68</v>
      </c>
      <c r="F32" s="164" t="s">
        <v>112</v>
      </c>
      <c r="G32" s="152">
        <f>T_20k</f>
        <v>3.8221360895779495E-3</v>
      </c>
      <c r="H32" s="173">
        <f>T_recup</f>
        <v>5.0569800569800561E-3</v>
      </c>
      <c r="I32" s="151" t="s">
        <v>68</v>
      </c>
      <c r="J32" s="164" t="s">
        <v>180</v>
      </c>
      <c r="K32" s="152">
        <f>T_recup</f>
        <v>5.0569800569800561E-3</v>
      </c>
      <c r="L32" s="153">
        <f>cp_recup</f>
        <v>108.99000000000001</v>
      </c>
      <c r="M32" s="151" t="s">
        <v>68</v>
      </c>
      <c r="N32" s="166" t="s">
        <v>242</v>
      </c>
      <c r="O32" s="167">
        <f>T_20k</f>
        <v>3.8221360895779495E-3</v>
      </c>
      <c r="P32" s="163">
        <f>cp_semi</f>
        <v>147.91500000000002</v>
      </c>
    </row>
  </sheetData>
  <sheetProtection algorithmName="SHA-512" hashValue="8y6MUvsR3aFMoKi5csjmeQgkbL0solYDKVcvsEzWr1TLPgzGDl5xIKHroUCfM790Wh7LHmvwmCCKuxaD0WMTyw==" saltValue="EHjAmoGgiZ/5eaNO2xjA9Q==" spinCount="100000" sheet="1" objects="1" scenarios="1"/>
  <mergeCells count="3">
    <mergeCell ref="A4:P4"/>
    <mergeCell ref="A14:P14"/>
    <mergeCell ref="A24:P24"/>
  </mergeCells>
  <phoneticPr fontId="0" type="noConversion"/>
  <printOptions horizontalCentered="1" verticalCentered="1"/>
  <pageMargins left="0.19685039370078741" right="0.19685039370078741" top="0.59055118110236227" bottom="0.59055118110236227" header="0.51181102362204722" footer="0.51181102362204722"/>
  <pageSetup paperSize="9" firstPageNumber="0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62"/>
  </sheetPr>
  <dimension ref="A3:Q33"/>
  <sheetViews>
    <sheetView zoomScale="125" zoomScaleNormal="125" workbookViewId="0">
      <selection activeCell="O7" sqref="O7"/>
    </sheetView>
  </sheetViews>
  <sheetFormatPr baseColWidth="10" defaultRowHeight="34" customHeight="1" x14ac:dyDescent="0.15"/>
  <cols>
    <col min="1" max="1" width="5.1640625" customWidth="1"/>
    <col min="2" max="2" width="17.6640625" style="6" customWidth="1"/>
    <col min="3" max="3" width="7.6640625" customWidth="1"/>
    <col min="4" max="4" width="6.33203125" style="7" customWidth="1"/>
    <col min="5" max="5" width="5.1640625" customWidth="1"/>
    <col min="6" max="6" width="17.6640625" style="6" customWidth="1"/>
    <col min="7" max="7" width="7.6640625" customWidth="1"/>
    <col min="8" max="8" width="6.33203125" style="7" customWidth="1"/>
    <col min="9" max="9" width="5.1640625" customWidth="1"/>
    <col min="10" max="10" width="17.6640625" style="6" customWidth="1"/>
    <col min="11" max="11" width="7.6640625" customWidth="1"/>
    <col min="12" max="12" width="6.33203125" style="7" customWidth="1"/>
    <col min="13" max="13" width="5.33203125" customWidth="1"/>
    <col min="14" max="14" width="17.6640625" style="6" customWidth="1"/>
    <col min="15" max="15" width="7.6640625" customWidth="1"/>
    <col min="16" max="16" width="6.33203125" style="7" customWidth="1"/>
  </cols>
  <sheetData>
    <row r="3" spans="1:16" ht="20.5" customHeight="1" x14ac:dyDescent="0.15"/>
    <row r="4" spans="1:16" ht="34.25" customHeight="1" x14ac:dyDescent="0.15">
      <c r="A4" s="332" t="s">
        <v>243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</row>
    <row r="5" spans="1:16" ht="34.25" customHeight="1" x14ac:dyDescent="0.15">
      <c r="A5" s="174"/>
      <c r="B5" s="148" t="s">
        <v>194</v>
      </c>
      <c r="C5" s="148" t="s">
        <v>231</v>
      </c>
      <c r="D5" s="149" t="s">
        <v>232</v>
      </c>
      <c r="E5" s="148"/>
      <c r="F5" s="148" t="s">
        <v>195</v>
      </c>
      <c r="G5" s="148" t="s">
        <v>231</v>
      </c>
      <c r="H5" s="149" t="s">
        <v>232</v>
      </c>
      <c r="I5" s="148"/>
      <c r="J5" s="148" t="s">
        <v>196</v>
      </c>
      <c r="K5" s="148" t="s">
        <v>231</v>
      </c>
      <c r="L5" s="149" t="s">
        <v>232</v>
      </c>
      <c r="M5" s="148"/>
      <c r="N5" s="148" t="s">
        <v>197</v>
      </c>
      <c r="O5" s="148" t="s">
        <v>231</v>
      </c>
      <c r="P5" s="149" t="s">
        <v>232</v>
      </c>
    </row>
    <row r="6" spans="1:16" ht="26" customHeight="1" x14ac:dyDescent="0.15">
      <c r="A6" s="151" t="s">
        <v>71</v>
      </c>
      <c r="B6" s="117" t="s">
        <v>14</v>
      </c>
      <c r="C6" s="152"/>
      <c r="D6" s="153"/>
      <c r="E6" s="151" t="s">
        <v>71</v>
      </c>
      <c r="F6" s="117" t="s">
        <v>14</v>
      </c>
      <c r="G6" s="152"/>
      <c r="H6" s="153"/>
      <c r="I6" s="151" t="s">
        <v>71</v>
      </c>
      <c r="J6" s="117" t="s">
        <v>14</v>
      </c>
      <c r="K6" s="152"/>
      <c r="L6" s="153"/>
      <c r="M6" s="151" t="s">
        <v>71</v>
      </c>
      <c r="N6" s="117" t="s">
        <v>14</v>
      </c>
      <c r="O6" s="152"/>
      <c r="P6" s="153"/>
    </row>
    <row r="7" spans="1:16" ht="39.75" customHeight="1" x14ac:dyDescent="0.15">
      <c r="A7" s="151" t="s">
        <v>70</v>
      </c>
      <c r="B7" s="175" t="s">
        <v>77</v>
      </c>
      <c r="C7" s="152">
        <f>T_endu</f>
        <v>4.4419419419419416E-3</v>
      </c>
      <c r="D7" s="153">
        <f>cp_endu</f>
        <v>132.345</v>
      </c>
      <c r="E7" s="151" t="s">
        <v>70</v>
      </c>
      <c r="F7" s="155" t="s">
        <v>266</v>
      </c>
      <c r="G7" s="152">
        <f>T_2000</f>
        <v>3.6522633744855964E-3</v>
      </c>
      <c r="H7" s="153">
        <f>cp_800</f>
        <v>163.48500000000001</v>
      </c>
      <c r="I7" s="151" t="s">
        <v>70</v>
      </c>
      <c r="J7" s="176" t="s">
        <v>119</v>
      </c>
      <c r="K7" s="152">
        <f>constantes!B55</f>
        <v>9.320520898970805E-4</v>
      </c>
      <c r="L7" s="153">
        <f>cp_200</f>
        <v>194.62500000000003</v>
      </c>
      <c r="M7" s="151" t="s">
        <v>70</v>
      </c>
      <c r="N7" s="155" t="s">
        <v>319</v>
      </c>
      <c r="O7" s="152">
        <f>T_2000</f>
        <v>3.6522633744855964E-3</v>
      </c>
      <c r="P7" s="153">
        <f>cp_800</f>
        <v>163.48500000000001</v>
      </c>
    </row>
    <row r="8" spans="1:16" ht="34.25" customHeight="1" x14ac:dyDescent="0.15">
      <c r="A8" s="151" t="s">
        <v>65</v>
      </c>
      <c r="B8" s="117" t="s">
        <v>14</v>
      </c>
      <c r="C8" s="153"/>
      <c r="D8" s="153"/>
      <c r="E8" s="151" t="s">
        <v>65</v>
      </c>
      <c r="F8" s="117" t="s">
        <v>14</v>
      </c>
      <c r="G8" s="152"/>
      <c r="H8" s="153"/>
      <c r="I8" s="151" t="s">
        <v>65</v>
      </c>
      <c r="J8" s="117" t="s">
        <v>14</v>
      </c>
      <c r="K8" s="153"/>
      <c r="L8" s="153"/>
      <c r="M8" s="151" t="s">
        <v>65</v>
      </c>
      <c r="N8" s="154" t="s">
        <v>182</v>
      </c>
      <c r="O8" s="152">
        <f>T_endu</f>
        <v>4.4419419419419416E-3</v>
      </c>
      <c r="P8" s="153">
        <f>cp_endu</f>
        <v>132.345</v>
      </c>
    </row>
    <row r="9" spans="1:16" ht="34.25" customHeight="1" x14ac:dyDescent="0.15">
      <c r="A9" s="151" t="s">
        <v>69</v>
      </c>
      <c r="B9" s="170" t="s">
        <v>113</v>
      </c>
      <c r="C9" s="152">
        <f>constantes!B54</f>
        <v>5.7165861513687596E-4</v>
      </c>
      <c r="D9" s="153">
        <f>cp_200</f>
        <v>194.62500000000003</v>
      </c>
      <c r="E9" s="151" t="s">
        <v>69</v>
      </c>
      <c r="F9" s="154" t="s">
        <v>3</v>
      </c>
      <c r="G9" s="152">
        <f>T_endu</f>
        <v>4.4419419419419416E-3</v>
      </c>
      <c r="H9" s="153">
        <f>cp_endu</f>
        <v>132.345</v>
      </c>
      <c r="I9" s="151" t="s">
        <v>69</v>
      </c>
      <c r="J9" s="154" t="s">
        <v>3</v>
      </c>
      <c r="K9" s="152">
        <f>T_endu</f>
        <v>4.4419419419419416E-3</v>
      </c>
      <c r="L9" s="153">
        <f>cp_endu</f>
        <v>132.345</v>
      </c>
      <c r="M9" s="151" t="s">
        <v>69</v>
      </c>
      <c r="N9" s="117" t="s">
        <v>14</v>
      </c>
      <c r="O9" s="152"/>
      <c r="P9" s="153"/>
    </row>
    <row r="10" spans="1:16" ht="34.25" customHeight="1" x14ac:dyDescent="0.15">
      <c r="A10" s="151" t="s">
        <v>66</v>
      </c>
      <c r="B10" s="117" t="s">
        <v>14</v>
      </c>
      <c r="C10" s="152"/>
      <c r="D10" s="153"/>
      <c r="E10" s="151" t="s">
        <v>66</v>
      </c>
      <c r="F10" s="117" t="s">
        <v>14</v>
      </c>
      <c r="G10" s="152"/>
      <c r="H10" s="153"/>
      <c r="I10" s="151" t="s">
        <v>66</v>
      </c>
      <c r="J10" s="117" t="s">
        <v>14</v>
      </c>
      <c r="K10" s="152"/>
      <c r="L10" s="153"/>
      <c r="M10" s="151" t="s">
        <v>66</v>
      </c>
      <c r="N10" s="156" t="s">
        <v>278</v>
      </c>
      <c r="O10" s="157">
        <f>T_recup</f>
        <v>5.0569800569800561E-3</v>
      </c>
      <c r="P10" s="158">
        <f>cp_recup</f>
        <v>108.99000000000001</v>
      </c>
    </row>
    <row r="11" spans="1:16" ht="39" customHeight="1" x14ac:dyDescent="0.15">
      <c r="A11" s="151" t="s">
        <v>67</v>
      </c>
      <c r="B11" s="175" t="s">
        <v>267</v>
      </c>
      <c r="C11" s="152">
        <f>T_endu</f>
        <v>4.4419419419419416E-3</v>
      </c>
      <c r="D11" s="153">
        <f>cp_endu</f>
        <v>132.345</v>
      </c>
      <c r="E11" s="151" t="s">
        <v>67</v>
      </c>
      <c r="F11" s="159" t="s">
        <v>265</v>
      </c>
      <c r="G11" s="152">
        <f>T_20k</f>
        <v>3.8221360895779495E-3</v>
      </c>
      <c r="H11" s="153">
        <f>cp_3000</f>
        <v>147.91500000000002</v>
      </c>
      <c r="I11" s="151" t="s">
        <v>67</v>
      </c>
      <c r="J11" s="159" t="s">
        <v>210</v>
      </c>
      <c r="K11" s="152">
        <f>T_20k</f>
        <v>3.8221360895779495E-3</v>
      </c>
      <c r="L11" s="153">
        <f>cp_3000</f>
        <v>147.91500000000002</v>
      </c>
      <c r="M11" s="151" t="s">
        <v>67</v>
      </c>
      <c r="N11" s="156" t="s">
        <v>181</v>
      </c>
      <c r="O11" s="157">
        <f>T_recup</f>
        <v>5.0569800569800561E-3</v>
      </c>
      <c r="P11" s="158">
        <f>cp_recup</f>
        <v>108.99000000000001</v>
      </c>
    </row>
    <row r="12" spans="1:16" ht="34.25" customHeight="1" x14ac:dyDescent="0.15">
      <c r="A12" s="151" t="s">
        <v>68</v>
      </c>
      <c r="B12" s="164" t="s">
        <v>174</v>
      </c>
      <c r="C12" s="152">
        <f>T_recup</f>
        <v>5.0569800569800561E-3</v>
      </c>
      <c r="D12" s="153">
        <f>cp_recup</f>
        <v>108.99000000000001</v>
      </c>
      <c r="E12" s="151" t="s">
        <v>68</v>
      </c>
      <c r="F12" s="164" t="s">
        <v>94</v>
      </c>
      <c r="G12" s="152">
        <f>T_recup</f>
        <v>5.0569800569800561E-3</v>
      </c>
      <c r="H12" s="153">
        <f>cp_recup</f>
        <v>108.99000000000001</v>
      </c>
      <c r="I12" s="151" t="s">
        <v>68</v>
      </c>
      <c r="J12" s="164" t="s">
        <v>175</v>
      </c>
      <c r="K12" s="152">
        <f>T_recup</f>
        <v>5.0569800569800561E-3</v>
      </c>
      <c r="L12" s="153">
        <f>cp_recup</f>
        <v>108.99000000000001</v>
      </c>
      <c r="M12" s="151" t="s">
        <v>68</v>
      </c>
      <c r="N12" s="166" t="s">
        <v>96</v>
      </c>
      <c r="O12" s="167">
        <f>T_2000</f>
        <v>3.6522633744855964E-3</v>
      </c>
      <c r="P12" s="163">
        <f>cp_2000</f>
        <v>151.02900000000002</v>
      </c>
    </row>
    <row r="13" spans="1:16" ht="34.25" customHeight="1" x14ac:dyDescent="0.15"/>
    <row r="14" spans="1:16" ht="34.25" customHeight="1" x14ac:dyDescent="0.15">
      <c r="A14" s="332" t="s">
        <v>244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</row>
    <row r="15" spans="1:16" ht="34.25" customHeight="1" x14ac:dyDescent="0.15">
      <c r="A15" s="168"/>
      <c r="B15" s="148" t="s">
        <v>198</v>
      </c>
      <c r="C15" s="148" t="s">
        <v>231</v>
      </c>
      <c r="D15" s="149" t="s">
        <v>232</v>
      </c>
      <c r="E15" s="168"/>
      <c r="F15" s="148" t="s">
        <v>199</v>
      </c>
      <c r="G15" s="148" t="s">
        <v>231</v>
      </c>
      <c r="H15" s="149" t="s">
        <v>232</v>
      </c>
      <c r="I15" s="168"/>
      <c r="J15" s="148" t="s">
        <v>200</v>
      </c>
      <c r="K15" s="148" t="s">
        <v>231</v>
      </c>
      <c r="L15" s="149" t="s">
        <v>232</v>
      </c>
      <c r="M15" s="168"/>
      <c r="N15" s="148" t="s">
        <v>201</v>
      </c>
      <c r="O15" s="148" t="s">
        <v>231</v>
      </c>
      <c r="P15" s="149" t="s">
        <v>232</v>
      </c>
    </row>
    <row r="16" spans="1:16" ht="34.25" customHeight="1" x14ac:dyDescent="0.15">
      <c r="A16" s="151" t="s">
        <v>71</v>
      </c>
      <c r="B16" s="117" t="s">
        <v>14</v>
      </c>
      <c r="C16" s="152"/>
      <c r="D16" s="153"/>
      <c r="E16" s="151" t="s">
        <v>71</v>
      </c>
      <c r="F16" s="117" t="s">
        <v>14</v>
      </c>
      <c r="G16" s="152"/>
      <c r="H16" s="153"/>
      <c r="I16" s="151" t="s">
        <v>71</v>
      </c>
      <c r="J16" s="117" t="s">
        <v>14</v>
      </c>
      <c r="K16" s="152"/>
      <c r="L16" s="153"/>
      <c r="M16" s="151" t="s">
        <v>71</v>
      </c>
      <c r="N16" s="117" t="s">
        <v>14</v>
      </c>
      <c r="O16" s="152"/>
      <c r="P16" s="153"/>
    </row>
    <row r="17" spans="1:17" ht="37.5" customHeight="1" x14ac:dyDescent="0.15">
      <c r="A17" s="151" t="s">
        <v>70</v>
      </c>
      <c r="B17" s="177" t="s">
        <v>245</v>
      </c>
      <c r="C17" s="152">
        <f>T_2000</f>
        <v>3.6522633744855964E-3</v>
      </c>
      <c r="D17" s="153">
        <f>cp_800</f>
        <v>163.48500000000001</v>
      </c>
      <c r="E17" s="151" t="s">
        <v>70</v>
      </c>
      <c r="F17" s="155" t="s">
        <v>246</v>
      </c>
      <c r="G17" s="152">
        <f>T_2000</f>
        <v>3.6522633744855964E-3</v>
      </c>
      <c r="H17" s="153">
        <f>cp_800</f>
        <v>163.48500000000001</v>
      </c>
      <c r="I17" s="151" t="s">
        <v>70</v>
      </c>
      <c r="J17" s="154" t="s">
        <v>3</v>
      </c>
      <c r="K17" s="152">
        <f>T_endu</f>
        <v>4.4419419419419416E-3</v>
      </c>
      <c r="L17" s="153">
        <f>cp_endu</f>
        <v>132.345</v>
      </c>
      <c r="M17" s="151" t="s">
        <v>70</v>
      </c>
      <c r="N17" s="155" t="s">
        <v>247</v>
      </c>
      <c r="O17" s="152">
        <f>T_2000</f>
        <v>3.6522633744855964E-3</v>
      </c>
      <c r="P17" s="153">
        <f>cp_800</f>
        <v>163.48500000000001</v>
      </c>
    </row>
    <row r="18" spans="1:17" ht="34.25" customHeight="1" x14ac:dyDescent="0.15">
      <c r="A18" s="151" t="s">
        <v>65</v>
      </c>
      <c r="B18" s="117" t="s">
        <v>14</v>
      </c>
      <c r="C18" s="153"/>
      <c r="D18" s="153"/>
      <c r="E18" s="151" t="s">
        <v>65</v>
      </c>
      <c r="F18" s="117" t="s">
        <v>14</v>
      </c>
      <c r="G18" s="152"/>
      <c r="H18" s="153"/>
      <c r="I18" s="151" t="s">
        <v>65</v>
      </c>
      <c r="J18" s="117" t="s">
        <v>14</v>
      </c>
      <c r="K18" s="153"/>
      <c r="L18" s="153"/>
      <c r="M18" s="151" t="s">
        <v>65</v>
      </c>
      <c r="N18" s="154" t="s">
        <v>182</v>
      </c>
      <c r="O18" s="152">
        <f>T_endu</f>
        <v>4.4419419419419416E-3</v>
      </c>
      <c r="P18" s="153">
        <f>cp_endu</f>
        <v>132.345</v>
      </c>
    </row>
    <row r="19" spans="1:17" ht="34.25" customHeight="1" x14ac:dyDescent="0.15">
      <c r="A19" s="151" t="s">
        <v>69</v>
      </c>
      <c r="B19" s="154" t="s">
        <v>86</v>
      </c>
      <c r="C19" s="152">
        <f>T_endu</f>
        <v>4.4419419419419416E-3</v>
      </c>
      <c r="D19" s="153">
        <f>cp_endu</f>
        <v>132.345</v>
      </c>
      <c r="E19" s="151" t="s">
        <v>69</v>
      </c>
      <c r="F19" s="154" t="s">
        <v>3</v>
      </c>
      <c r="G19" s="152">
        <f>T_endu</f>
        <v>4.4419419419419416E-3</v>
      </c>
      <c r="H19" s="153">
        <f>cp_endu</f>
        <v>132.345</v>
      </c>
      <c r="I19" s="151" t="s">
        <v>69</v>
      </c>
      <c r="J19" s="170" t="s">
        <v>121</v>
      </c>
      <c r="K19" s="152">
        <f>constantes!B56</f>
        <v>1.3148148148148147E-3</v>
      </c>
      <c r="L19" s="153">
        <f>cp_400</f>
        <v>174.38400000000004</v>
      </c>
      <c r="M19" s="151" t="s">
        <v>69</v>
      </c>
      <c r="N19" s="117" t="s">
        <v>14</v>
      </c>
      <c r="O19" s="152"/>
      <c r="P19" s="153"/>
    </row>
    <row r="20" spans="1:17" ht="34.25" customHeight="1" x14ac:dyDescent="0.15">
      <c r="A20" s="151" t="s">
        <v>66</v>
      </c>
      <c r="B20" s="117" t="s">
        <v>14</v>
      </c>
      <c r="C20" s="152"/>
      <c r="D20" s="153"/>
      <c r="E20" s="151" t="s">
        <v>66</v>
      </c>
      <c r="F20" s="117" t="s">
        <v>14</v>
      </c>
      <c r="G20" s="152"/>
      <c r="H20" s="153"/>
      <c r="I20" s="151" t="s">
        <v>66</v>
      </c>
      <c r="J20" s="117" t="s">
        <v>14</v>
      </c>
      <c r="K20" s="152"/>
      <c r="L20" s="153"/>
      <c r="M20" s="151" t="s">
        <v>66</v>
      </c>
      <c r="N20" s="156" t="s">
        <v>278</v>
      </c>
      <c r="O20" s="157">
        <f>T_recup</f>
        <v>5.0569800569800561E-3</v>
      </c>
      <c r="P20" s="158">
        <f>cp_recup</f>
        <v>108.99000000000001</v>
      </c>
    </row>
    <row r="21" spans="1:17" ht="39" customHeight="1" x14ac:dyDescent="0.15">
      <c r="A21" s="151" t="s">
        <v>67</v>
      </c>
      <c r="B21" s="159" t="s">
        <v>264</v>
      </c>
      <c r="C21" s="152">
        <f>T_20k</f>
        <v>3.8221360895779495E-3</v>
      </c>
      <c r="D21" s="153">
        <f>cp_3000</f>
        <v>147.91500000000002</v>
      </c>
      <c r="E21" s="151" t="s">
        <v>67</v>
      </c>
      <c r="F21" s="159" t="s">
        <v>120</v>
      </c>
      <c r="G21" s="152">
        <f>T_20k</f>
        <v>3.8221360895779495E-3</v>
      </c>
      <c r="H21" s="153">
        <f>cp_3000</f>
        <v>147.91500000000002</v>
      </c>
      <c r="I21" s="151" t="s">
        <v>67</v>
      </c>
      <c r="J21" s="159" t="s">
        <v>192</v>
      </c>
      <c r="K21" s="152">
        <f>T_20k</f>
        <v>3.8221360895779495E-3</v>
      </c>
      <c r="L21" s="153">
        <f>cp_3000</f>
        <v>147.91500000000002</v>
      </c>
      <c r="M21" s="151" t="s">
        <v>67</v>
      </c>
      <c r="N21" s="156" t="s">
        <v>181</v>
      </c>
      <c r="O21" s="157">
        <f>T_recup</f>
        <v>5.0569800569800561E-3</v>
      </c>
      <c r="P21" s="158">
        <f>cp_recup</f>
        <v>108.99000000000001</v>
      </c>
    </row>
    <row r="22" spans="1:17" ht="34.25" customHeight="1" x14ac:dyDescent="0.15">
      <c r="A22" s="151" t="s">
        <v>68</v>
      </c>
      <c r="B22" s="164" t="s">
        <v>93</v>
      </c>
      <c r="C22" s="152">
        <f>T_recup</f>
        <v>5.0569800569800561E-3</v>
      </c>
      <c r="D22" s="153">
        <f>cp_recup</f>
        <v>108.99000000000001</v>
      </c>
      <c r="E22" s="151" t="s">
        <v>68</v>
      </c>
      <c r="F22" s="164" t="s">
        <v>177</v>
      </c>
      <c r="G22" s="152">
        <f>T_recup</f>
        <v>5.0569800569800561E-3</v>
      </c>
      <c r="H22" s="153">
        <f>cp_recup</f>
        <v>108.99000000000001</v>
      </c>
      <c r="I22" s="151" t="s">
        <v>68</v>
      </c>
      <c r="J22" s="164" t="s">
        <v>175</v>
      </c>
      <c r="K22" s="152">
        <f>T_recup</f>
        <v>5.0569800569800561E-3</v>
      </c>
      <c r="L22" s="153">
        <f>cp_recup</f>
        <v>108.99000000000001</v>
      </c>
      <c r="M22" s="151" t="s">
        <v>68</v>
      </c>
      <c r="N22" s="166" t="s">
        <v>95</v>
      </c>
      <c r="O22" s="167">
        <f>T_20k</f>
        <v>3.8221360895779495E-3</v>
      </c>
      <c r="P22" s="163">
        <f>cp_semi</f>
        <v>147.91500000000002</v>
      </c>
    </row>
    <row r="23" spans="1:17" ht="34.25" customHeight="1" x14ac:dyDescent="0.15"/>
    <row r="24" spans="1:17" ht="34.25" customHeight="1" x14ac:dyDescent="0.15">
      <c r="A24" s="332" t="s">
        <v>248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</row>
    <row r="25" spans="1:17" ht="34.25" customHeight="1" x14ac:dyDescent="0.15">
      <c r="A25" s="174"/>
      <c r="B25" s="148" t="s">
        <v>202</v>
      </c>
      <c r="C25" s="148" t="s">
        <v>231</v>
      </c>
      <c r="D25" s="149" t="s">
        <v>232</v>
      </c>
      <c r="E25" s="148"/>
      <c r="F25" s="148" t="s">
        <v>203</v>
      </c>
      <c r="G25" s="148" t="s">
        <v>231</v>
      </c>
      <c r="H25" s="149" t="s">
        <v>232</v>
      </c>
      <c r="I25" s="148"/>
      <c r="J25" s="148" t="s">
        <v>204</v>
      </c>
      <c r="K25" s="148" t="s">
        <v>231</v>
      </c>
      <c r="L25" s="149" t="s">
        <v>232</v>
      </c>
      <c r="M25" s="148"/>
      <c r="N25" s="148" t="s">
        <v>205</v>
      </c>
      <c r="O25" s="148" t="s">
        <v>231</v>
      </c>
      <c r="P25" s="149" t="s">
        <v>232</v>
      </c>
    </row>
    <row r="26" spans="1:17" ht="29" customHeight="1" x14ac:dyDescent="0.15">
      <c r="A26" s="151" t="s">
        <v>71</v>
      </c>
      <c r="B26" s="117" t="s">
        <v>14</v>
      </c>
      <c r="C26" s="152"/>
      <c r="D26" s="153"/>
      <c r="E26" s="151" t="s">
        <v>71</v>
      </c>
      <c r="F26" s="117" t="s">
        <v>14</v>
      </c>
      <c r="G26" s="152"/>
      <c r="H26" s="153"/>
      <c r="I26" s="151" t="s">
        <v>71</v>
      </c>
      <c r="J26" s="117" t="s">
        <v>14</v>
      </c>
      <c r="K26" s="152"/>
      <c r="L26" s="153"/>
      <c r="M26" s="151" t="s">
        <v>71</v>
      </c>
      <c r="N26" s="117" t="s">
        <v>14</v>
      </c>
      <c r="O26" s="152"/>
      <c r="P26" s="153"/>
    </row>
    <row r="27" spans="1:17" ht="39.75" customHeight="1" x14ac:dyDescent="0.15">
      <c r="A27" s="151" t="s">
        <v>70</v>
      </c>
      <c r="B27" s="164" t="s">
        <v>116</v>
      </c>
      <c r="C27" s="152">
        <f>T_recup</f>
        <v>5.0569800569800561E-3</v>
      </c>
      <c r="D27" s="153">
        <f>cp_recup</f>
        <v>108.99000000000001</v>
      </c>
      <c r="E27" s="151" t="s">
        <v>70</v>
      </c>
      <c r="F27" s="155" t="s">
        <v>249</v>
      </c>
      <c r="G27" s="152">
        <f>T_2000</f>
        <v>3.6522633744855964E-3</v>
      </c>
      <c r="H27" s="153">
        <f>cp_800</f>
        <v>163.48500000000001</v>
      </c>
      <c r="I27" s="151" t="s">
        <v>70</v>
      </c>
      <c r="J27" s="170" t="s">
        <v>122</v>
      </c>
      <c r="K27" s="152">
        <f>constantes!B57</f>
        <v>1.6435185185185183E-3</v>
      </c>
      <c r="L27" s="153">
        <f>cp_400</f>
        <v>174.38400000000004</v>
      </c>
      <c r="M27" s="151" t="s">
        <v>70</v>
      </c>
      <c r="N27" s="117" t="s">
        <v>14</v>
      </c>
      <c r="O27" s="152"/>
      <c r="P27" s="153"/>
      <c r="Q27" s="108"/>
    </row>
    <row r="28" spans="1:17" ht="34.25" customHeight="1" x14ac:dyDescent="0.15">
      <c r="A28" s="151" t="s">
        <v>65</v>
      </c>
      <c r="B28" s="117" t="s">
        <v>14</v>
      </c>
      <c r="C28" s="152"/>
      <c r="D28" s="153"/>
      <c r="E28" s="151" t="s">
        <v>65</v>
      </c>
      <c r="F28" s="117" t="s">
        <v>14</v>
      </c>
      <c r="G28" s="152"/>
      <c r="H28" s="153"/>
      <c r="I28" s="151" t="s">
        <v>65</v>
      </c>
      <c r="J28" s="117" t="s">
        <v>14</v>
      </c>
      <c r="K28" s="152"/>
      <c r="L28" s="153"/>
      <c r="M28" s="151" t="s">
        <v>65</v>
      </c>
      <c r="N28" s="178" t="s">
        <v>123</v>
      </c>
      <c r="O28" s="152">
        <f>T_2000</f>
        <v>3.6522633744855964E-3</v>
      </c>
      <c r="P28" s="153">
        <f>cp_800</f>
        <v>163.48500000000001</v>
      </c>
      <c r="Q28" s="108"/>
    </row>
    <row r="29" spans="1:17" ht="34.25" customHeight="1" x14ac:dyDescent="0.15">
      <c r="A29" s="151" t="s">
        <v>69</v>
      </c>
      <c r="B29" s="155" t="s">
        <v>250</v>
      </c>
      <c r="C29" s="152">
        <f>T_2000</f>
        <v>3.6522633744855964E-3</v>
      </c>
      <c r="D29" s="153">
        <f>cp_800</f>
        <v>163.48500000000001</v>
      </c>
      <c r="E29" s="151" t="s">
        <v>69</v>
      </c>
      <c r="F29" s="154" t="s">
        <v>87</v>
      </c>
      <c r="G29" s="152">
        <f>T_endu</f>
        <v>4.4419419419419416E-3</v>
      </c>
      <c r="H29" s="153">
        <f>cp_endu</f>
        <v>132.345</v>
      </c>
      <c r="I29" s="151" t="s">
        <v>69</v>
      </c>
      <c r="J29" s="154" t="s">
        <v>3</v>
      </c>
      <c r="K29" s="152">
        <f>T_endu</f>
        <v>4.4419419419419416E-3</v>
      </c>
      <c r="L29" s="153">
        <f>cp_endu</f>
        <v>132.345</v>
      </c>
      <c r="M29" s="151" t="s">
        <v>69</v>
      </c>
      <c r="N29" s="117" t="s">
        <v>14</v>
      </c>
      <c r="O29" s="152"/>
      <c r="P29" s="153"/>
      <c r="Q29" s="108"/>
    </row>
    <row r="30" spans="1:17" ht="34.25" customHeight="1" x14ac:dyDescent="0.15">
      <c r="A30" s="151" t="s">
        <v>66</v>
      </c>
      <c r="B30" s="117" t="s">
        <v>14</v>
      </c>
      <c r="C30" s="152"/>
      <c r="D30" s="153"/>
      <c r="E30" s="151" t="s">
        <v>66</v>
      </c>
      <c r="F30" s="117" t="s">
        <v>14</v>
      </c>
      <c r="G30" s="152"/>
      <c r="H30" s="153"/>
      <c r="I30" s="151" t="s">
        <v>66</v>
      </c>
      <c r="J30" s="117" t="s">
        <v>14</v>
      </c>
      <c r="K30" s="152"/>
      <c r="L30" s="153"/>
      <c r="M30" s="151" t="s">
        <v>66</v>
      </c>
      <c r="N30" s="156" t="s">
        <v>278</v>
      </c>
      <c r="O30" s="157">
        <f>T_recup</f>
        <v>5.0569800569800561E-3</v>
      </c>
      <c r="P30" s="158">
        <f>cp_recup</f>
        <v>108.99000000000001</v>
      </c>
      <c r="Q30" s="108"/>
    </row>
    <row r="31" spans="1:17" ht="39" customHeight="1" x14ac:dyDescent="0.15">
      <c r="A31" s="151" t="s">
        <v>67</v>
      </c>
      <c r="B31" s="159" t="s">
        <v>193</v>
      </c>
      <c r="C31" s="152">
        <f>T_20k</f>
        <v>3.8221360895779495E-3</v>
      </c>
      <c r="D31" s="153">
        <f>cp_3000</f>
        <v>147.91500000000002</v>
      </c>
      <c r="E31" s="151" t="s">
        <v>67</v>
      </c>
      <c r="F31" s="159" t="s">
        <v>100</v>
      </c>
      <c r="G31" s="152">
        <f>T_20k</f>
        <v>3.8221360895779495E-3</v>
      </c>
      <c r="H31" s="153">
        <f>cp_3000</f>
        <v>147.91500000000002</v>
      </c>
      <c r="I31" s="151" t="s">
        <v>67</v>
      </c>
      <c r="J31" s="159" t="s">
        <v>263</v>
      </c>
      <c r="K31" s="152">
        <f>T_20k</f>
        <v>3.8221360895779495E-3</v>
      </c>
      <c r="L31" s="153">
        <f>cp_3000</f>
        <v>147.91500000000002</v>
      </c>
      <c r="M31" s="151" t="s">
        <v>67</v>
      </c>
      <c r="N31" s="156" t="s">
        <v>181</v>
      </c>
      <c r="O31" s="157">
        <f>T_recup</f>
        <v>5.0569800569800561E-3</v>
      </c>
      <c r="P31" s="158">
        <f>cp_recup</f>
        <v>108.99000000000001</v>
      </c>
      <c r="Q31" s="108"/>
    </row>
    <row r="32" spans="1:17" ht="34.25" customHeight="1" x14ac:dyDescent="0.15">
      <c r="A32" s="151" t="s">
        <v>68</v>
      </c>
      <c r="B32" s="164" t="s">
        <v>97</v>
      </c>
      <c r="C32" s="152">
        <f>T_20k</f>
        <v>3.8221360895779495E-3</v>
      </c>
      <c r="D32" s="173">
        <f>T_recup</f>
        <v>5.0569800569800561E-3</v>
      </c>
      <c r="E32" s="151" t="s">
        <v>68</v>
      </c>
      <c r="F32" s="164" t="s">
        <v>112</v>
      </c>
      <c r="G32" s="152">
        <f>T_20k</f>
        <v>3.8221360895779495E-3</v>
      </c>
      <c r="H32" s="173">
        <f>T_recup</f>
        <v>5.0569800569800561E-3</v>
      </c>
      <c r="I32" s="151" t="s">
        <v>68</v>
      </c>
      <c r="J32" s="164" t="s">
        <v>180</v>
      </c>
      <c r="K32" s="152">
        <f>T_recup</f>
        <v>5.0569800569800561E-3</v>
      </c>
      <c r="L32" s="153">
        <f>cp_recup</f>
        <v>108.99000000000001</v>
      </c>
      <c r="M32" s="151" t="s">
        <v>68</v>
      </c>
      <c r="N32" s="166" t="s">
        <v>226</v>
      </c>
      <c r="O32" s="167">
        <f>T_20k</f>
        <v>3.8221360895779495E-3</v>
      </c>
      <c r="P32" s="163">
        <f>cp_semi</f>
        <v>147.91500000000002</v>
      </c>
      <c r="Q32" s="108"/>
    </row>
    <row r="33" spans="16:17" ht="34.25" customHeight="1" x14ac:dyDescent="0.15">
      <c r="P33" s="111"/>
      <c r="Q33" s="108"/>
    </row>
  </sheetData>
  <sheetProtection algorithmName="SHA-512" hashValue="xH7MOcLD3gBE0QGMsFAalZvQ9G9FaPLZKnUOgdHWNsmYQzRtNGJMz20jXVNz+E1epklhjH8rkNXda/1xGq7H2Q==" saltValue="rlXxEmiz8cICZdCjgw1t4Q==" spinCount="100000" sheet="1" objects="1" scenarios="1"/>
  <mergeCells count="3">
    <mergeCell ref="A4:P4"/>
    <mergeCell ref="A14:P14"/>
    <mergeCell ref="A24:P2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paperSize="9" firstPageNumber="0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3:P32"/>
  <sheetViews>
    <sheetView topLeftCell="C1" zoomScale="125" zoomScaleNormal="130" workbookViewId="0">
      <selection activeCell="Q7" sqref="Q7"/>
    </sheetView>
  </sheetViews>
  <sheetFormatPr baseColWidth="10" defaultRowHeight="34" customHeight="1" x14ac:dyDescent="0.15"/>
  <cols>
    <col min="1" max="1" width="5.1640625" customWidth="1"/>
    <col min="2" max="2" width="17.6640625" style="6" customWidth="1"/>
    <col min="3" max="3" width="7.6640625" customWidth="1"/>
    <col min="4" max="4" width="6.33203125" style="7" customWidth="1"/>
    <col min="5" max="5" width="5" customWidth="1"/>
    <col min="6" max="6" width="17.6640625" style="6" customWidth="1"/>
    <col min="7" max="7" width="7.6640625" customWidth="1"/>
    <col min="8" max="8" width="6.33203125" style="7" customWidth="1"/>
    <col min="9" max="9" width="5.1640625" customWidth="1"/>
    <col min="10" max="10" width="17.5" style="6" customWidth="1"/>
    <col min="11" max="11" width="7.6640625" customWidth="1"/>
    <col min="12" max="12" width="6.33203125" style="7" customWidth="1"/>
    <col min="13" max="13" width="5.1640625" customWidth="1"/>
    <col min="14" max="14" width="17.6640625" style="6" customWidth="1"/>
    <col min="15" max="15" width="7.6640625" customWidth="1"/>
    <col min="16" max="16" width="6.33203125" style="7" customWidth="1"/>
  </cols>
  <sheetData>
    <row r="3" spans="1:16" ht="34" customHeight="1" x14ac:dyDescent="0.15">
      <c r="B3" s="113"/>
      <c r="C3" s="77"/>
    </row>
    <row r="4" spans="1:16" ht="34" customHeight="1" x14ac:dyDescent="0.15">
      <c r="A4" s="332" t="s">
        <v>251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</row>
    <row r="5" spans="1:16" ht="34" customHeight="1" x14ac:dyDescent="0.15">
      <c r="A5" s="174"/>
      <c r="B5" s="148" t="s">
        <v>194</v>
      </c>
      <c r="C5" s="148" t="s">
        <v>231</v>
      </c>
      <c r="D5" s="149" t="s">
        <v>232</v>
      </c>
      <c r="E5" s="148"/>
      <c r="F5" s="148" t="s">
        <v>195</v>
      </c>
      <c r="G5" s="148" t="s">
        <v>231</v>
      </c>
      <c r="H5" s="149" t="s">
        <v>232</v>
      </c>
      <c r="I5" s="148"/>
      <c r="J5" s="148" t="s">
        <v>196</v>
      </c>
      <c r="K5" s="148" t="s">
        <v>231</v>
      </c>
      <c r="L5" s="149" t="s">
        <v>232</v>
      </c>
      <c r="M5" s="148"/>
      <c r="N5" s="148" t="s">
        <v>197</v>
      </c>
      <c r="O5" s="148" t="s">
        <v>231</v>
      </c>
      <c r="P5" s="149" t="s">
        <v>232</v>
      </c>
    </row>
    <row r="6" spans="1:16" ht="34" customHeight="1" x14ac:dyDescent="0.15">
      <c r="A6" s="151" t="s">
        <v>71</v>
      </c>
      <c r="B6" s="117" t="s">
        <v>14</v>
      </c>
      <c r="C6" s="152"/>
      <c r="D6" s="153"/>
      <c r="E6" s="151" t="s">
        <v>71</v>
      </c>
      <c r="F6" s="117" t="s">
        <v>14</v>
      </c>
      <c r="G6" s="152"/>
      <c r="H6" s="153"/>
      <c r="I6" s="151" t="s">
        <v>71</v>
      </c>
      <c r="J6" s="117" t="s">
        <v>14</v>
      </c>
      <c r="K6" s="152"/>
      <c r="L6" s="153"/>
      <c r="M6" s="151" t="s">
        <v>71</v>
      </c>
      <c r="N6" s="117" t="s">
        <v>14</v>
      </c>
      <c r="O6" s="152"/>
      <c r="P6" s="153"/>
    </row>
    <row r="7" spans="1:16" ht="34" customHeight="1" x14ac:dyDescent="0.15">
      <c r="A7" s="151" t="s">
        <v>70</v>
      </c>
      <c r="B7" s="154" t="s">
        <v>77</v>
      </c>
      <c r="C7" s="152">
        <f>T_endu</f>
        <v>4.4419419419419416E-3</v>
      </c>
      <c r="D7" s="153">
        <f>cp_endu</f>
        <v>132.345</v>
      </c>
      <c r="E7" s="151" t="s">
        <v>70</v>
      </c>
      <c r="F7" s="154" t="s">
        <v>77</v>
      </c>
      <c r="G7" s="152">
        <f>T_endu</f>
        <v>4.4419419419419416E-3</v>
      </c>
      <c r="H7" s="153">
        <f>cp_endu</f>
        <v>132.345</v>
      </c>
      <c r="I7" s="151" t="s">
        <v>70</v>
      </c>
      <c r="J7" s="154" t="s">
        <v>77</v>
      </c>
      <c r="K7" s="152">
        <f>T_endu</f>
        <v>4.4419419419419416E-3</v>
      </c>
      <c r="L7" s="153">
        <f>cp_endu</f>
        <v>132.345</v>
      </c>
      <c r="M7" s="151" t="s">
        <v>70</v>
      </c>
      <c r="N7" s="117" t="s">
        <v>14</v>
      </c>
      <c r="O7" s="152"/>
      <c r="P7" s="153"/>
    </row>
    <row r="8" spans="1:16" ht="34" customHeight="1" x14ac:dyDescent="0.15">
      <c r="A8" s="151" t="s">
        <v>65</v>
      </c>
      <c r="B8" s="117" t="s">
        <v>14</v>
      </c>
      <c r="C8" s="152"/>
      <c r="D8" s="153"/>
      <c r="E8" s="151" t="s">
        <v>65</v>
      </c>
      <c r="F8" s="117" t="s">
        <v>14</v>
      </c>
      <c r="G8" s="152"/>
      <c r="H8" s="153"/>
      <c r="I8" s="151" t="s">
        <v>65</v>
      </c>
      <c r="J8" s="117" t="s">
        <v>14</v>
      </c>
      <c r="K8" s="152"/>
      <c r="L8" s="153"/>
      <c r="M8" s="151" t="s">
        <v>65</v>
      </c>
      <c r="N8" s="159" t="s">
        <v>318</v>
      </c>
      <c r="O8" s="152">
        <f>T_20k</f>
        <v>3.8221360895779495E-3</v>
      </c>
      <c r="P8" s="153">
        <f>cp_3000</f>
        <v>147.91500000000002</v>
      </c>
    </row>
    <row r="9" spans="1:16" ht="38.25" customHeight="1" x14ac:dyDescent="0.15">
      <c r="A9" s="151" t="s">
        <v>69</v>
      </c>
      <c r="B9" s="155" t="s">
        <v>252</v>
      </c>
      <c r="C9" s="152">
        <f>T_2000</f>
        <v>3.6522633744855964E-3</v>
      </c>
      <c r="D9" s="153">
        <f>cp_800</f>
        <v>163.48500000000001</v>
      </c>
      <c r="E9" s="151" t="s">
        <v>69</v>
      </c>
      <c r="F9" s="155" t="s">
        <v>253</v>
      </c>
      <c r="G9" s="152">
        <f>T_2000</f>
        <v>3.6522633744855964E-3</v>
      </c>
      <c r="H9" s="153">
        <f>cp_800</f>
        <v>163.48500000000001</v>
      </c>
      <c r="I9" s="151" t="s">
        <v>69</v>
      </c>
      <c r="J9" s="176" t="s">
        <v>270</v>
      </c>
      <c r="K9" s="152">
        <f>constantes!B55</f>
        <v>9.320520898970805E-4</v>
      </c>
      <c r="L9" s="153">
        <f>cp_200</f>
        <v>194.62500000000003</v>
      </c>
      <c r="M9" s="151" t="s">
        <v>69</v>
      </c>
      <c r="N9" s="117" t="s">
        <v>14</v>
      </c>
      <c r="O9" s="152"/>
      <c r="P9" s="153"/>
    </row>
    <row r="10" spans="1:16" ht="34" customHeight="1" x14ac:dyDescent="0.15">
      <c r="A10" s="151" t="s">
        <v>66</v>
      </c>
      <c r="B10" s="117" t="s">
        <v>14</v>
      </c>
      <c r="C10" s="152"/>
      <c r="D10" s="153"/>
      <c r="E10" s="151" t="s">
        <v>66</v>
      </c>
      <c r="F10" s="117" t="s">
        <v>14</v>
      </c>
      <c r="G10" s="152"/>
      <c r="H10" s="153"/>
      <c r="I10" s="151" t="s">
        <v>66</v>
      </c>
      <c r="J10" s="117" t="s">
        <v>14</v>
      </c>
      <c r="K10" s="152"/>
      <c r="L10" s="153"/>
      <c r="M10" s="151" t="s">
        <v>66</v>
      </c>
      <c r="N10" s="156" t="s">
        <v>278</v>
      </c>
      <c r="O10" s="157">
        <f>T_recup</f>
        <v>5.0569800569800561E-3</v>
      </c>
      <c r="P10" s="158">
        <f>cp_recup</f>
        <v>108.99000000000001</v>
      </c>
    </row>
    <row r="11" spans="1:16" ht="25.5" customHeight="1" x14ac:dyDescent="0.15">
      <c r="A11" s="151" t="s">
        <v>67</v>
      </c>
      <c r="B11" s="117" t="s">
        <v>14</v>
      </c>
      <c r="C11" s="152"/>
      <c r="D11" s="153"/>
      <c r="E11" s="151" t="s">
        <v>67</v>
      </c>
      <c r="F11" s="117" t="s">
        <v>14</v>
      </c>
      <c r="G11" s="152"/>
      <c r="H11" s="153"/>
      <c r="I11" s="151" t="s">
        <v>67</v>
      </c>
      <c r="J11" s="117" t="s">
        <v>14</v>
      </c>
      <c r="K11" s="152"/>
      <c r="L11" s="153"/>
      <c r="M11" s="151" t="s">
        <v>67</v>
      </c>
      <c r="N11" s="156" t="s">
        <v>181</v>
      </c>
      <c r="O11" s="157">
        <f>T_recup</f>
        <v>5.0569800569800561E-3</v>
      </c>
      <c r="P11" s="158">
        <f>cp_recup</f>
        <v>108.99000000000001</v>
      </c>
    </row>
    <row r="12" spans="1:16" ht="45.75" customHeight="1" x14ac:dyDescent="0.15">
      <c r="A12" s="151" t="s">
        <v>68</v>
      </c>
      <c r="B12" s="179" t="s">
        <v>189</v>
      </c>
      <c r="C12" s="152">
        <f>T_20k</f>
        <v>3.8221360895779495E-3</v>
      </c>
      <c r="D12" s="173">
        <f>T_recup</f>
        <v>5.0569800569800561E-3</v>
      </c>
      <c r="E12" s="151" t="s">
        <v>68</v>
      </c>
      <c r="F12" s="179" t="s">
        <v>188</v>
      </c>
      <c r="G12" s="152">
        <f>T_20k</f>
        <v>3.8221360895779495E-3</v>
      </c>
      <c r="H12" s="173">
        <f>T_recup</f>
        <v>5.0569800569800561E-3</v>
      </c>
      <c r="I12" s="151" t="s">
        <v>68</v>
      </c>
      <c r="J12" s="179" t="s">
        <v>187</v>
      </c>
      <c r="K12" s="152">
        <f>T_20k</f>
        <v>3.8221360895779495E-3</v>
      </c>
      <c r="L12" s="173">
        <f>T_recup</f>
        <v>5.0569800569800561E-3</v>
      </c>
      <c r="M12" s="151" t="s">
        <v>68</v>
      </c>
      <c r="N12" s="166" t="s">
        <v>96</v>
      </c>
      <c r="O12" s="167">
        <f>T_2000</f>
        <v>3.6522633744855964E-3</v>
      </c>
      <c r="P12" s="163">
        <f>cp_2000</f>
        <v>151.02900000000002</v>
      </c>
    </row>
    <row r="14" spans="1:16" ht="34" customHeight="1" x14ac:dyDescent="0.15">
      <c r="A14" s="332" t="s">
        <v>254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</row>
    <row r="15" spans="1:16" ht="34" customHeight="1" x14ac:dyDescent="0.15">
      <c r="A15" s="168"/>
      <c r="B15" s="148" t="s">
        <v>198</v>
      </c>
      <c r="C15" s="148" t="s">
        <v>231</v>
      </c>
      <c r="D15" s="149" t="s">
        <v>232</v>
      </c>
      <c r="E15" s="168"/>
      <c r="F15" s="148" t="s">
        <v>199</v>
      </c>
      <c r="G15" s="148" t="s">
        <v>231</v>
      </c>
      <c r="H15" s="149" t="s">
        <v>232</v>
      </c>
      <c r="I15" s="168"/>
      <c r="J15" s="148" t="s">
        <v>200</v>
      </c>
      <c r="K15" s="148" t="s">
        <v>231</v>
      </c>
      <c r="L15" s="149" t="s">
        <v>232</v>
      </c>
      <c r="M15" s="168"/>
      <c r="N15" s="148" t="s">
        <v>201</v>
      </c>
      <c r="O15" s="148" t="s">
        <v>231</v>
      </c>
      <c r="P15" s="149" t="s">
        <v>232</v>
      </c>
    </row>
    <row r="16" spans="1:16" ht="34" customHeight="1" x14ac:dyDescent="0.15">
      <c r="A16" s="151" t="s">
        <v>71</v>
      </c>
      <c r="B16" s="117" t="s">
        <v>14</v>
      </c>
      <c r="C16" s="152"/>
      <c r="D16" s="153"/>
      <c r="E16" s="151" t="s">
        <v>71</v>
      </c>
      <c r="F16" s="117" t="s">
        <v>14</v>
      </c>
      <c r="G16" s="180"/>
      <c r="H16" s="181"/>
      <c r="I16" s="151" t="s">
        <v>71</v>
      </c>
      <c r="J16" s="117" t="s">
        <v>14</v>
      </c>
      <c r="K16" s="152"/>
      <c r="L16" s="153"/>
      <c r="M16" s="151" t="s">
        <v>71</v>
      </c>
      <c r="N16" s="117" t="s">
        <v>14</v>
      </c>
      <c r="O16" s="152"/>
      <c r="P16" s="153"/>
    </row>
    <row r="17" spans="1:16" ht="34" customHeight="1" x14ac:dyDescent="0.15">
      <c r="A17" s="151" t="s">
        <v>70</v>
      </c>
      <c r="B17" s="154" t="s">
        <v>77</v>
      </c>
      <c r="C17" s="152">
        <f>T_endu</f>
        <v>4.4419419419419416E-3</v>
      </c>
      <c r="D17" s="153">
        <f>cp_endu</f>
        <v>132.345</v>
      </c>
      <c r="E17" s="151" t="s">
        <v>70</v>
      </c>
      <c r="F17" s="154" t="s">
        <v>3</v>
      </c>
      <c r="G17" s="152">
        <f>T_endu</f>
        <v>4.4419419419419416E-3</v>
      </c>
      <c r="H17" s="153">
        <f>cp_endu</f>
        <v>132.345</v>
      </c>
      <c r="I17" s="151" t="s">
        <v>70</v>
      </c>
      <c r="J17" s="154" t="s">
        <v>86</v>
      </c>
      <c r="K17" s="152">
        <f>T_endu</f>
        <v>4.4419419419419416E-3</v>
      </c>
      <c r="L17" s="153">
        <f>cp_endu</f>
        <v>132.345</v>
      </c>
      <c r="M17" s="151" t="s">
        <v>70</v>
      </c>
      <c r="N17" s="117" t="s">
        <v>14</v>
      </c>
      <c r="O17" s="152"/>
      <c r="P17" s="153"/>
    </row>
    <row r="18" spans="1:16" ht="34" customHeight="1" x14ac:dyDescent="0.15">
      <c r="A18" s="151" t="s">
        <v>65</v>
      </c>
      <c r="B18" s="117" t="s">
        <v>14</v>
      </c>
      <c r="C18" s="152"/>
      <c r="D18" s="153"/>
      <c r="E18" s="151" t="s">
        <v>65</v>
      </c>
      <c r="F18" s="117" t="s">
        <v>14</v>
      </c>
      <c r="G18" s="152"/>
      <c r="H18" s="153"/>
      <c r="I18" s="151" t="s">
        <v>65</v>
      </c>
      <c r="J18" s="117" t="s">
        <v>14</v>
      </c>
      <c r="K18" s="152"/>
      <c r="L18" s="153"/>
      <c r="M18" s="151" t="s">
        <v>65</v>
      </c>
      <c r="N18" s="159" t="s">
        <v>124</v>
      </c>
      <c r="O18" s="152">
        <f>T_20k</f>
        <v>3.8221360895779495E-3</v>
      </c>
      <c r="P18" s="153">
        <f>cp_3000</f>
        <v>147.91500000000002</v>
      </c>
    </row>
    <row r="19" spans="1:16" ht="34" customHeight="1" x14ac:dyDescent="0.15">
      <c r="A19" s="151" t="s">
        <v>69</v>
      </c>
      <c r="B19" s="155" t="s">
        <v>255</v>
      </c>
      <c r="C19" s="152">
        <f>T_2000</f>
        <v>3.6522633744855964E-3</v>
      </c>
      <c r="D19" s="153">
        <f>cp_800</f>
        <v>163.48500000000001</v>
      </c>
      <c r="E19" s="151" t="s">
        <v>69</v>
      </c>
      <c r="F19" s="159" t="s">
        <v>271</v>
      </c>
      <c r="G19" s="152">
        <f>T_20k</f>
        <v>3.8221360895779495E-3</v>
      </c>
      <c r="H19" s="153">
        <f>cp_3000</f>
        <v>147.91500000000002</v>
      </c>
      <c r="I19" s="151" t="s">
        <v>69</v>
      </c>
      <c r="J19" s="170" t="s">
        <v>99</v>
      </c>
      <c r="K19" s="152">
        <f>constantes!B56</f>
        <v>1.3148148148148147E-3</v>
      </c>
      <c r="L19" s="153">
        <f>cp_400</f>
        <v>174.38400000000004</v>
      </c>
      <c r="M19" s="151" t="s">
        <v>69</v>
      </c>
      <c r="N19" s="117" t="s">
        <v>14</v>
      </c>
      <c r="O19" s="152"/>
      <c r="P19" s="153"/>
    </row>
    <row r="20" spans="1:16" ht="34" customHeight="1" x14ac:dyDescent="0.15">
      <c r="A20" s="151" t="s">
        <v>66</v>
      </c>
      <c r="B20" s="117" t="s">
        <v>14</v>
      </c>
      <c r="C20" s="152"/>
      <c r="D20" s="153"/>
      <c r="E20" s="151" t="s">
        <v>66</v>
      </c>
      <c r="F20" s="117" t="s">
        <v>14</v>
      </c>
      <c r="G20" s="152"/>
      <c r="H20" s="153"/>
      <c r="I20" s="151" t="s">
        <v>66</v>
      </c>
      <c r="J20" s="117" t="s">
        <v>14</v>
      </c>
      <c r="K20" s="152"/>
      <c r="L20" s="153"/>
      <c r="M20" s="151" t="s">
        <v>66</v>
      </c>
      <c r="N20" s="156" t="s">
        <v>278</v>
      </c>
      <c r="O20" s="157">
        <f>T_recup</f>
        <v>5.0569800569800561E-3</v>
      </c>
      <c r="P20" s="158">
        <f>cp_recup</f>
        <v>108.99000000000001</v>
      </c>
    </row>
    <row r="21" spans="1:16" ht="34" customHeight="1" x14ac:dyDescent="0.15">
      <c r="A21" s="151" t="s">
        <v>67</v>
      </c>
      <c r="B21" s="117" t="s">
        <v>14</v>
      </c>
      <c r="C21" s="152"/>
      <c r="D21" s="153"/>
      <c r="E21" s="151" t="s">
        <v>67</v>
      </c>
      <c r="F21" s="117" t="s">
        <v>14</v>
      </c>
      <c r="G21" s="152"/>
      <c r="H21" s="153"/>
      <c r="I21" s="151" t="s">
        <v>67</v>
      </c>
      <c r="J21" s="117" t="s">
        <v>14</v>
      </c>
      <c r="K21" s="152"/>
      <c r="L21" s="153"/>
      <c r="M21" s="151" t="s">
        <v>67</v>
      </c>
      <c r="N21" s="156" t="s">
        <v>181</v>
      </c>
      <c r="O21" s="157">
        <f>T_recup</f>
        <v>5.0569800569800561E-3</v>
      </c>
      <c r="P21" s="158">
        <f>cp_recup</f>
        <v>108.99000000000001</v>
      </c>
    </row>
    <row r="22" spans="1:16" ht="39.75" customHeight="1" x14ac:dyDescent="0.15">
      <c r="A22" s="151" t="s">
        <v>68</v>
      </c>
      <c r="B22" s="179" t="s">
        <v>187</v>
      </c>
      <c r="C22" s="152">
        <f>T_20k</f>
        <v>3.8221360895779495E-3</v>
      </c>
      <c r="D22" s="173">
        <f>T_recup</f>
        <v>5.0569800569800561E-3</v>
      </c>
      <c r="E22" s="151" t="s">
        <v>68</v>
      </c>
      <c r="F22" s="179" t="s">
        <v>186</v>
      </c>
      <c r="G22" s="152">
        <f>T_20k</f>
        <v>3.8221360895779495E-3</v>
      </c>
      <c r="H22" s="173">
        <f>T_recup</f>
        <v>5.0569800569800561E-3</v>
      </c>
      <c r="I22" s="151" t="s">
        <v>68</v>
      </c>
      <c r="J22" s="179" t="s">
        <v>185</v>
      </c>
      <c r="K22" s="152">
        <f>T_20k</f>
        <v>3.8221360895779495E-3</v>
      </c>
      <c r="L22" s="173">
        <f>T_recup</f>
        <v>5.0569800569800561E-3</v>
      </c>
      <c r="M22" s="151" t="s">
        <v>68</v>
      </c>
      <c r="N22" s="166" t="s">
        <v>95</v>
      </c>
      <c r="O22" s="167">
        <f>T_20k</f>
        <v>3.8221360895779495E-3</v>
      </c>
      <c r="P22" s="163">
        <f>cp_semi</f>
        <v>147.91500000000002</v>
      </c>
    </row>
    <row r="24" spans="1:16" ht="34" customHeight="1" x14ac:dyDescent="0.15">
      <c r="A24" s="332" t="s">
        <v>256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</row>
    <row r="25" spans="1:16" ht="34" customHeight="1" x14ac:dyDescent="0.15">
      <c r="A25" s="147"/>
      <c r="B25" s="148" t="s">
        <v>202</v>
      </c>
      <c r="C25" s="148" t="s">
        <v>231</v>
      </c>
      <c r="D25" s="149" t="s">
        <v>232</v>
      </c>
      <c r="E25" s="148"/>
      <c r="F25" s="148" t="s">
        <v>203</v>
      </c>
      <c r="G25" s="148" t="s">
        <v>231</v>
      </c>
      <c r="H25" s="149" t="s">
        <v>232</v>
      </c>
      <c r="I25" s="148"/>
      <c r="J25" s="148" t="s">
        <v>204</v>
      </c>
      <c r="K25" s="148" t="s">
        <v>231</v>
      </c>
      <c r="L25" s="149" t="s">
        <v>232</v>
      </c>
      <c r="M25" s="148"/>
      <c r="N25" s="148" t="s">
        <v>205</v>
      </c>
      <c r="O25" s="148" t="s">
        <v>231</v>
      </c>
      <c r="P25" s="149" t="s">
        <v>232</v>
      </c>
    </row>
    <row r="26" spans="1:16" ht="34" customHeight="1" x14ac:dyDescent="0.15">
      <c r="A26" s="151" t="s">
        <v>71</v>
      </c>
      <c r="B26" s="117" t="s">
        <v>14</v>
      </c>
      <c r="C26" s="152"/>
      <c r="D26" s="153"/>
      <c r="E26" s="151" t="s">
        <v>71</v>
      </c>
      <c r="F26" s="117" t="s">
        <v>14</v>
      </c>
      <c r="G26" s="152"/>
      <c r="H26" s="153"/>
      <c r="I26" s="151" t="s">
        <v>71</v>
      </c>
      <c r="J26" s="117" t="s">
        <v>14</v>
      </c>
      <c r="K26" s="152"/>
      <c r="L26" s="153"/>
      <c r="M26" s="151" t="s">
        <v>71</v>
      </c>
      <c r="N26" s="117" t="s">
        <v>14</v>
      </c>
      <c r="O26" s="152"/>
      <c r="P26" s="153"/>
    </row>
    <row r="27" spans="1:16" ht="34" customHeight="1" x14ac:dyDescent="0.15">
      <c r="A27" s="151" t="s">
        <v>70</v>
      </c>
      <c r="B27" s="117" t="s">
        <v>14</v>
      </c>
      <c r="C27" s="153"/>
      <c r="D27" s="153"/>
      <c r="E27" s="151" t="s">
        <v>70</v>
      </c>
      <c r="F27" s="154" t="s">
        <v>87</v>
      </c>
      <c r="G27" s="152">
        <f>T_endu</f>
        <v>4.4419419419419416E-3</v>
      </c>
      <c r="H27" s="153">
        <f>cp_endu</f>
        <v>132.345</v>
      </c>
      <c r="I27" s="151" t="s">
        <v>70</v>
      </c>
      <c r="J27" s="182" t="s">
        <v>3</v>
      </c>
      <c r="K27" s="152">
        <f>T_endu</f>
        <v>4.4419419419419416E-3</v>
      </c>
      <c r="L27" s="153">
        <f>cp_endu</f>
        <v>132.345</v>
      </c>
      <c r="M27" s="151" t="s">
        <v>70</v>
      </c>
      <c r="N27" s="117" t="s">
        <v>14</v>
      </c>
      <c r="O27" s="153"/>
      <c r="P27" s="153"/>
    </row>
    <row r="28" spans="1:16" ht="34" customHeight="1" x14ac:dyDescent="0.15">
      <c r="A28" s="151" t="s">
        <v>65</v>
      </c>
      <c r="B28" s="164" t="s">
        <v>116</v>
      </c>
      <c r="C28" s="152">
        <f>T_recup</f>
        <v>5.0569800569800561E-3</v>
      </c>
      <c r="D28" s="153">
        <f>cp_recup</f>
        <v>108.99000000000001</v>
      </c>
      <c r="E28" s="151" t="s">
        <v>65</v>
      </c>
      <c r="F28" s="117" t="s">
        <v>14</v>
      </c>
      <c r="G28" s="152"/>
      <c r="H28" s="153"/>
      <c r="I28" s="151" t="s">
        <v>65</v>
      </c>
      <c r="J28" s="117" t="s">
        <v>14</v>
      </c>
      <c r="K28" s="152"/>
      <c r="L28" s="153"/>
      <c r="M28" s="151" t="s">
        <v>65</v>
      </c>
      <c r="N28" s="159" t="s">
        <v>125</v>
      </c>
      <c r="O28" s="152">
        <f>T_20k</f>
        <v>3.8221360895779495E-3</v>
      </c>
      <c r="P28" s="153">
        <f>cp_3000</f>
        <v>147.91500000000002</v>
      </c>
    </row>
    <row r="29" spans="1:16" ht="34" customHeight="1" x14ac:dyDescent="0.15">
      <c r="A29" s="151" t="s">
        <v>69</v>
      </c>
      <c r="B29" s="117" t="s">
        <v>14</v>
      </c>
      <c r="C29" s="152"/>
      <c r="D29" s="153"/>
      <c r="E29" s="151" t="s">
        <v>69</v>
      </c>
      <c r="F29" s="155" t="s">
        <v>257</v>
      </c>
      <c r="G29" s="152">
        <f>T_2000</f>
        <v>3.6522633744855964E-3</v>
      </c>
      <c r="H29" s="153">
        <f>cp_800</f>
        <v>163.48500000000001</v>
      </c>
      <c r="I29" s="151" t="s">
        <v>69</v>
      </c>
      <c r="J29" s="170" t="s">
        <v>127</v>
      </c>
      <c r="K29" s="152">
        <v>1.6261574074074075E-3</v>
      </c>
      <c r="L29" s="153">
        <f>cp_400</f>
        <v>174.38400000000004</v>
      </c>
      <c r="M29" s="151" t="s">
        <v>69</v>
      </c>
      <c r="N29" s="117" t="s">
        <v>14</v>
      </c>
      <c r="O29" s="152"/>
      <c r="P29" s="153"/>
    </row>
    <row r="30" spans="1:16" ht="34" customHeight="1" x14ac:dyDescent="0.15">
      <c r="A30" s="151" t="s">
        <v>66</v>
      </c>
      <c r="B30" s="155" t="s">
        <v>258</v>
      </c>
      <c r="C30" s="152">
        <f>T_2000</f>
        <v>3.6522633744855964E-3</v>
      </c>
      <c r="D30" s="153">
        <f>cp_800</f>
        <v>163.48500000000001</v>
      </c>
      <c r="E30" s="151" t="s">
        <v>66</v>
      </c>
      <c r="F30" s="117" t="s">
        <v>14</v>
      </c>
      <c r="G30" s="152"/>
      <c r="H30" s="153"/>
      <c r="I30" s="151" t="s">
        <v>66</v>
      </c>
      <c r="J30" s="117" t="s">
        <v>14</v>
      </c>
      <c r="K30" s="152"/>
      <c r="L30" s="153"/>
      <c r="M30" s="151" t="s">
        <v>66</v>
      </c>
      <c r="N30" s="156" t="s">
        <v>278</v>
      </c>
      <c r="O30" s="157">
        <f>T_recup</f>
        <v>5.0569800569800561E-3</v>
      </c>
      <c r="P30" s="158">
        <f>cp_recup</f>
        <v>108.99000000000001</v>
      </c>
    </row>
    <row r="31" spans="1:16" ht="34" customHeight="1" x14ac:dyDescent="0.15">
      <c r="A31" s="151" t="s">
        <v>67</v>
      </c>
      <c r="B31" s="117" t="s">
        <v>14</v>
      </c>
      <c r="C31" s="152"/>
      <c r="D31" s="153"/>
      <c r="E31" s="151" t="s">
        <v>67</v>
      </c>
      <c r="F31" s="117" t="s">
        <v>14</v>
      </c>
      <c r="G31" s="152"/>
      <c r="H31" s="153"/>
      <c r="I31" s="151" t="s">
        <v>67</v>
      </c>
      <c r="J31" s="117" t="s">
        <v>14</v>
      </c>
      <c r="K31" s="152"/>
      <c r="L31" s="153"/>
      <c r="M31" s="151" t="s">
        <v>67</v>
      </c>
      <c r="N31" s="156" t="s">
        <v>181</v>
      </c>
      <c r="O31" s="157">
        <f>T_recup</f>
        <v>5.0569800569800561E-3</v>
      </c>
      <c r="P31" s="158">
        <f>cp_recup</f>
        <v>108.99000000000001</v>
      </c>
    </row>
    <row r="32" spans="1:16" ht="37" customHeight="1" x14ac:dyDescent="0.15">
      <c r="A32" s="151" t="s">
        <v>68</v>
      </c>
      <c r="B32" s="179" t="s">
        <v>184</v>
      </c>
      <c r="C32" s="152">
        <f>T_20k</f>
        <v>3.8221360895779495E-3</v>
      </c>
      <c r="D32" s="173">
        <f>T_recup</f>
        <v>5.0569800569800561E-3</v>
      </c>
      <c r="E32" s="151" t="s">
        <v>68</v>
      </c>
      <c r="F32" s="164" t="s">
        <v>117</v>
      </c>
      <c r="G32" s="152">
        <f>T_recup</f>
        <v>5.0569800569800561E-3</v>
      </c>
      <c r="H32" s="153">
        <f>cp_recup</f>
        <v>108.99000000000001</v>
      </c>
      <c r="I32" s="151" t="s">
        <v>68</v>
      </c>
      <c r="J32" s="164" t="s">
        <v>183</v>
      </c>
      <c r="K32" s="152">
        <f>T_recup</f>
        <v>5.0569800569800561E-3</v>
      </c>
      <c r="L32" s="153">
        <f>cp_recup</f>
        <v>108.99000000000001</v>
      </c>
      <c r="M32" s="151" t="s">
        <v>68</v>
      </c>
      <c r="N32" s="166" t="s">
        <v>226</v>
      </c>
      <c r="O32" s="167">
        <f>T_20k</f>
        <v>3.8221360895779495E-3</v>
      </c>
      <c r="P32" s="163">
        <f>cp_semi</f>
        <v>147.91500000000002</v>
      </c>
    </row>
  </sheetData>
  <sheetProtection algorithmName="SHA-512" hashValue="XfL5pHU9Vep9ZUiFsu5duBemxJqDphAAmq7aARCwVw18qXl3Wv4a0ALvNzdbFxd9/KjYIISctgXrwXi3u6+Cjw==" saltValue="kUo+6zQkNAh+PgjknWL98w==" spinCount="100000" sheet="1" objects="1" scenarios="1"/>
  <mergeCells count="3">
    <mergeCell ref="A4:P4"/>
    <mergeCell ref="A14:P14"/>
    <mergeCell ref="A24:P2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paperSize="9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8:J87"/>
  <sheetViews>
    <sheetView topLeftCell="A37" zoomScale="125" workbookViewId="0">
      <selection activeCell="B56" sqref="B56"/>
    </sheetView>
  </sheetViews>
  <sheetFormatPr baseColWidth="10" defaultColWidth="11.5" defaultRowHeight="13" x14ac:dyDescent="0.15"/>
  <cols>
    <col min="1" max="1" width="14.5" style="94" customWidth="1"/>
    <col min="2" max="2" width="15.5" style="92" customWidth="1"/>
    <col min="3" max="3" width="11.5" style="92"/>
    <col min="4" max="4" width="13.33203125" style="92" customWidth="1"/>
    <col min="5" max="16384" width="11.5" style="92"/>
  </cols>
  <sheetData>
    <row r="8" spans="1:9" x14ac:dyDescent="0.15">
      <c r="A8" s="333" t="s">
        <v>20</v>
      </c>
      <c r="B8" s="334"/>
      <c r="C8" s="334"/>
      <c r="D8" s="334"/>
      <c r="E8" s="334"/>
      <c r="F8" s="334"/>
    </row>
    <row r="9" spans="1:9" x14ac:dyDescent="0.15">
      <c r="A9" s="95"/>
      <c r="B9" s="93"/>
      <c r="C9" s="335" t="s">
        <v>21</v>
      </c>
      <c r="D9" s="336"/>
      <c r="E9" s="335" t="s">
        <v>22</v>
      </c>
      <c r="F9" s="336"/>
    </row>
    <row r="10" spans="1:9" x14ac:dyDescent="0.15">
      <c r="A10" s="119" t="s">
        <v>132</v>
      </c>
      <c r="B10" s="121">
        <f>IF(cp&gt;0,cp,cp_test)</f>
        <v>155.70000000000002</v>
      </c>
      <c r="C10" s="96"/>
      <c r="D10" s="102"/>
      <c r="E10" s="96" t="s">
        <v>23</v>
      </c>
      <c r="F10" s="104">
        <v>3.4722222222222224E-4</v>
      </c>
    </row>
    <row r="11" spans="1:9" x14ac:dyDescent="0.15">
      <c r="A11" s="131" t="s">
        <v>133</v>
      </c>
      <c r="B11" s="132">
        <f>1.25*$B$10</f>
        <v>194.62500000000003</v>
      </c>
      <c r="C11" s="119" t="s">
        <v>149</v>
      </c>
      <c r="D11" s="123">
        <f>vma_obj_km/115%</f>
        <v>2.8582930756843798E-3</v>
      </c>
      <c r="E11" s="96" t="s">
        <v>26</v>
      </c>
      <c r="F11" s="104">
        <v>4.6296296296296293E-4</v>
      </c>
    </row>
    <row r="12" spans="1:9" x14ac:dyDescent="0.15">
      <c r="A12" s="131" t="s">
        <v>134</v>
      </c>
      <c r="B12" s="132">
        <f>1.12*$B$10</f>
        <v>174.38400000000004</v>
      </c>
      <c r="C12" s="119" t="s">
        <v>148</v>
      </c>
      <c r="D12" s="123">
        <f>vma_obj_km/100%</f>
        <v>3.2870370370370367E-3</v>
      </c>
      <c r="E12" s="96" t="s">
        <v>27</v>
      </c>
      <c r="F12" s="104">
        <v>6.9444444444444447E-4</v>
      </c>
    </row>
    <row r="13" spans="1:9" x14ac:dyDescent="0.15">
      <c r="A13" s="133" t="s">
        <v>135</v>
      </c>
      <c r="B13" s="134">
        <f>1.05*$B$10</f>
        <v>163.48500000000001</v>
      </c>
      <c r="C13" s="119" t="s">
        <v>150</v>
      </c>
      <c r="D13" s="123">
        <f>vma_obj_km/96%</f>
        <v>3.4239969135802465E-3</v>
      </c>
      <c r="E13" s="96" t="s">
        <v>29</v>
      </c>
      <c r="F13" s="104">
        <v>8.6805555555555551E-4</v>
      </c>
    </row>
    <row r="14" spans="1:9" x14ac:dyDescent="0.15">
      <c r="A14" s="119" t="s">
        <v>136</v>
      </c>
      <c r="B14" s="121">
        <f>$B$10</f>
        <v>155.70000000000002</v>
      </c>
      <c r="C14" s="119" t="s">
        <v>151</v>
      </c>
      <c r="D14" s="123">
        <f>vma_obj_km/93%</f>
        <v>3.5344484269215445E-3</v>
      </c>
      <c r="E14" s="96" t="s">
        <v>30</v>
      </c>
      <c r="F14" s="104">
        <v>1.0416666666666667E-3</v>
      </c>
      <c r="I14" s="130"/>
    </row>
    <row r="15" spans="1:9" x14ac:dyDescent="0.15">
      <c r="A15" s="119" t="s">
        <v>137</v>
      </c>
      <c r="B15" s="121">
        <f>0.97*$B$10</f>
        <v>151.02900000000002</v>
      </c>
      <c r="C15" s="119" t="s">
        <v>152</v>
      </c>
      <c r="D15" s="123">
        <f>vma_obj_km/90%</f>
        <v>3.6522633744855964E-3</v>
      </c>
      <c r="E15" s="96"/>
      <c r="F15" s="104"/>
      <c r="I15" s="130"/>
    </row>
    <row r="16" spans="1:9" x14ac:dyDescent="0.15">
      <c r="A16" s="135" t="s">
        <v>138</v>
      </c>
      <c r="B16" s="136">
        <f>0.95*$B$10</f>
        <v>147.91500000000002</v>
      </c>
      <c r="C16" s="119" t="s">
        <v>153</v>
      </c>
      <c r="D16" s="123">
        <f>vma_obj_km/86%</f>
        <v>3.8221360895779495E-3</v>
      </c>
      <c r="E16" s="96" t="s">
        <v>32</v>
      </c>
      <c r="F16" s="104">
        <v>1.3888888888888889E-3</v>
      </c>
      <c r="I16" s="130"/>
    </row>
    <row r="17" spans="1:9" x14ac:dyDescent="0.15">
      <c r="A17" s="137" t="s">
        <v>139</v>
      </c>
      <c r="B17" s="138">
        <f>0.85*$B$10</f>
        <v>132.345</v>
      </c>
      <c r="C17" s="119" t="s">
        <v>154</v>
      </c>
      <c r="D17" s="123">
        <f>vma_obj_km/74%</f>
        <v>4.4419419419419416E-3</v>
      </c>
      <c r="E17" s="96"/>
      <c r="F17" s="104"/>
      <c r="I17" s="130"/>
    </row>
    <row r="18" spans="1:9" x14ac:dyDescent="0.15">
      <c r="A18" s="139" t="s">
        <v>140</v>
      </c>
      <c r="B18" s="140">
        <f>0.7*$B$10</f>
        <v>108.99000000000001</v>
      </c>
      <c r="C18" s="119" t="s">
        <v>155</v>
      </c>
      <c r="D18" s="123">
        <f>vma_obj_km/65%</f>
        <v>5.0569800569800561E-3</v>
      </c>
      <c r="E18" s="98"/>
      <c r="F18" s="103"/>
      <c r="I18" s="130"/>
    </row>
    <row r="19" spans="1:9" x14ac:dyDescent="0.15">
      <c r="A19" s="141" t="s">
        <v>165</v>
      </c>
      <c r="B19" s="142">
        <f>0.95*$B$10</f>
        <v>147.91500000000002</v>
      </c>
      <c r="C19" s="119" t="s">
        <v>164</v>
      </c>
      <c r="D19" s="123">
        <f>vma_obj_km/k_semi_2</f>
        <v>3.8221360895779495E-3</v>
      </c>
      <c r="E19" s="98"/>
      <c r="F19" s="103"/>
    </row>
    <row r="20" spans="1:9" x14ac:dyDescent="0.15">
      <c r="A20" s="96"/>
      <c r="B20" s="99"/>
      <c r="C20" s="96"/>
      <c r="D20" s="104"/>
      <c r="E20" s="96"/>
      <c r="F20" s="106"/>
    </row>
    <row r="21" spans="1:9" x14ac:dyDescent="0.15">
      <c r="A21" s="125" t="s">
        <v>33</v>
      </c>
      <c r="B21" s="126">
        <f>IF(D_test=2000,0.95,0.98)</f>
        <v>0.98</v>
      </c>
      <c r="C21" s="96"/>
      <c r="D21" s="104"/>
      <c r="E21" s="96"/>
      <c r="F21" s="106"/>
    </row>
    <row r="22" spans="1:9" x14ac:dyDescent="0.15">
      <c r="A22" s="125" t="s">
        <v>34</v>
      </c>
      <c r="B22" s="126">
        <f>IF(D_test=2000,0.88,0.88)</f>
        <v>0.88</v>
      </c>
      <c r="C22" s="96"/>
      <c r="D22" s="102"/>
      <c r="E22" s="96"/>
      <c r="F22" s="106"/>
    </row>
    <row r="23" spans="1:9" x14ac:dyDescent="0.15">
      <c r="A23" s="125" t="s">
        <v>36</v>
      </c>
      <c r="B23" s="126">
        <f>IF(D_test=2000,0.8,0.78)</f>
        <v>0.78</v>
      </c>
      <c r="C23" s="96"/>
      <c r="D23" s="102"/>
      <c r="E23" s="96"/>
      <c r="F23" s="106"/>
    </row>
    <row r="24" spans="1:9" x14ac:dyDescent="0.15">
      <c r="A24" s="96" t="s">
        <v>89</v>
      </c>
      <c r="B24" s="101">
        <f>IF(D_test=2000,0.88,0.86)</f>
        <v>0.86</v>
      </c>
      <c r="C24" s="96"/>
      <c r="D24" s="99"/>
      <c r="E24" s="96"/>
      <c r="F24" s="106"/>
    </row>
    <row r="25" spans="1:9" x14ac:dyDescent="0.15">
      <c r="A25" s="96" t="s">
        <v>38</v>
      </c>
      <c r="B25" s="100">
        <v>0.65</v>
      </c>
      <c r="C25" s="96"/>
      <c r="D25" s="99"/>
      <c r="E25" s="97"/>
      <c r="F25" s="106"/>
    </row>
    <row r="26" spans="1:9" x14ac:dyDescent="0.15">
      <c r="A26" s="96" t="s">
        <v>39</v>
      </c>
      <c r="B26" s="100">
        <f>IF(D_test=2000,0.82,0.8)</f>
        <v>0.8</v>
      </c>
      <c r="C26" s="96" t="s">
        <v>41</v>
      </c>
      <c r="D26" s="105">
        <f>vma_obj_km*10/k_10</f>
        <v>3.7352693602693603E-2</v>
      </c>
      <c r="E26" s="127" t="s">
        <v>191</v>
      </c>
      <c r="F26" s="128">
        <f>v_vma</f>
        <v>0</v>
      </c>
    </row>
    <row r="27" spans="1:9" x14ac:dyDescent="0.15">
      <c r="A27" s="96" t="s">
        <v>40</v>
      </c>
      <c r="B27" s="100">
        <f>IF(D_test=2000,0.88,0.86)</f>
        <v>0.86</v>
      </c>
      <c r="C27" s="96" t="s">
        <v>44</v>
      </c>
      <c r="D27" s="105">
        <f>vma_obj_km/k_semi*dist_semi</f>
        <v>8.0647071490094743E-2</v>
      </c>
      <c r="E27" s="127" t="s">
        <v>219</v>
      </c>
      <c r="F27" s="128">
        <f>T_10k+0.05*T_10k</f>
        <v>3.922032828282828E-2</v>
      </c>
    </row>
    <row r="28" spans="1:9" x14ac:dyDescent="0.15">
      <c r="A28" s="96" t="s">
        <v>43</v>
      </c>
      <c r="B28" s="100">
        <f>IF(D_test=2000,0.92,0.88)</f>
        <v>0.88</v>
      </c>
      <c r="C28" s="96" t="s">
        <v>46</v>
      </c>
      <c r="D28" s="105">
        <f>vma_obj_km/k_semi</f>
        <v>3.8221360895779495E-3</v>
      </c>
      <c r="E28" s="97"/>
      <c r="F28" s="106"/>
    </row>
    <row r="29" spans="1:9" x14ac:dyDescent="0.15">
      <c r="A29" s="96" t="s">
        <v>45</v>
      </c>
      <c r="B29" s="100">
        <f>IF(D_test=2000,3.55,3.7)</f>
        <v>3.7</v>
      </c>
      <c r="C29" s="96"/>
      <c r="D29" s="105"/>
      <c r="E29" s="97"/>
      <c r="F29" s="106"/>
    </row>
    <row r="30" spans="1:9" x14ac:dyDescent="0.15">
      <c r="A30" s="96" t="s">
        <v>47</v>
      </c>
      <c r="B30" s="99">
        <v>100</v>
      </c>
      <c r="C30" s="96"/>
      <c r="D30" s="105"/>
      <c r="E30" s="97"/>
      <c r="F30" s="106"/>
    </row>
    <row r="31" spans="1:9" x14ac:dyDescent="0.15">
      <c r="A31" s="96" t="s">
        <v>48</v>
      </c>
      <c r="B31" s="101">
        <v>42.195</v>
      </c>
      <c r="C31" s="97"/>
      <c r="D31" s="106"/>
      <c r="E31" s="97"/>
      <c r="F31" s="106"/>
    </row>
    <row r="32" spans="1:9" x14ac:dyDescent="0.15">
      <c r="A32" s="119" t="s">
        <v>131</v>
      </c>
      <c r="B32" s="101">
        <v>21.1</v>
      </c>
      <c r="C32" s="97"/>
      <c r="D32" s="106"/>
      <c r="E32" s="97"/>
      <c r="F32" s="106"/>
    </row>
    <row r="33" spans="1:10" x14ac:dyDescent="0.15">
      <c r="A33" s="96" t="s">
        <v>17</v>
      </c>
      <c r="B33" s="99" t="str">
        <f>IF(Etalonnage!B9=2000,"2",IF(Etalonnage!B9=1600,"1,6",IF(Etalonnage!B9=1200,"1,2","")))</f>
        <v>1,2</v>
      </c>
      <c r="C33" s="97"/>
      <c r="D33" s="106"/>
      <c r="E33" s="97"/>
      <c r="F33" s="106"/>
    </row>
    <row r="34" spans="1:10" x14ac:dyDescent="0.15">
      <c r="A34" s="96" t="s">
        <v>18</v>
      </c>
      <c r="B34" s="100">
        <f>IF(D_test=2000,0.65,0.67)</f>
        <v>0.67</v>
      </c>
      <c r="C34" s="97"/>
      <c r="D34" s="107"/>
      <c r="E34" s="97"/>
      <c r="F34" s="106"/>
    </row>
    <row r="36" spans="1:10" x14ac:dyDescent="0.15">
      <c r="A36" s="337" t="s">
        <v>103</v>
      </c>
      <c r="B36" s="338"/>
      <c r="C36" s="339" t="s">
        <v>50</v>
      </c>
      <c r="D36" s="340"/>
      <c r="E36" s="340"/>
      <c r="F36" s="341"/>
      <c r="G36" s="346" t="s">
        <v>144</v>
      </c>
      <c r="H36" s="347"/>
      <c r="I36" s="347"/>
      <c r="J36" s="348"/>
    </row>
    <row r="37" spans="1:10" ht="14" thickBot="1" x14ac:dyDescent="0.2">
      <c r="A37" s="349" t="s">
        <v>102</v>
      </c>
      <c r="B37" s="350"/>
      <c r="C37" s="351" t="s">
        <v>114</v>
      </c>
      <c r="D37" s="352"/>
      <c r="E37" s="352"/>
      <c r="F37" s="353"/>
      <c r="G37" s="354" t="s">
        <v>142</v>
      </c>
      <c r="H37" s="355"/>
      <c r="I37" s="355"/>
      <c r="J37" s="356"/>
    </row>
    <row r="38" spans="1:10" x14ac:dyDescent="0.15">
      <c r="A38" s="357" t="s">
        <v>101</v>
      </c>
      <c r="B38" s="358"/>
      <c r="C38" s="359" t="s">
        <v>105</v>
      </c>
      <c r="D38" s="359"/>
      <c r="E38" s="359"/>
      <c r="F38" s="360"/>
      <c r="G38" s="361" t="s">
        <v>145</v>
      </c>
      <c r="H38" s="361"/>
      <c r="I38" s="361"/>
      <c r="J38" s="362"/>
    </row>
    <row r="39" spans="1:10" x14ac:dyDescent="0.15">
      <c r="A39" s="342" t="s">
        <v>51</v>
      </c>
      <c r="B39" s="343"/>
      <c r="C39" s="339" t="s">
        <v>78</v>
      </c>
      <c r="D39" s="340"/>
      <c r="E39" s="340"/>
      <c r="F39" s="341"/>
      <c r="G39" s="346" t="s">
        <v>147</v>
      </c>
      <c r="H39" s="347"/>
      <c r="I39" s="347"/>
      <c r="J39" s="348"/>
    </row>
    <row r="40" spans="1:10" ht="14" thickBot="1" x14ac:dyDescent="0.2">
      <c r="A40" s="363" t="s">
        <v>107</v>
      </c>
      <c r="B40" s="364"/>
      <c r="C40" s="339" t="s">
        <v>104</v>
      </c>
      <c r="D40" s="340"/>
      <c r="E40" s="340"/>
      <c r="F40" s="341"/>
      <c r="G40" s="346" t="s">
        <v>146</v>
      </c>
      <c r="H40" s="347"/>
      <c r="I40" s="347"/>
      <c r="J40" s="348"/>
    </row>
    <row r="41" spans="1:10" x14ac:dyDescent="0.15">
      <c r="A41" s="365" t="s">
        <v>126</v>
      </c>
      <c r="B41" s="366"/>
      <c r="C41" s="367" t="s">
        <v>106</v>
      </c>
      <c r="D41" s="367"/>
      <c r="E41" s="367"/>
      <c r="F41" s="368"/>
      <c r="G41" s="369" t="s">
        <v>143</v>
      </c>
      <c r="H41" s="369"/>
      <c r="I41" s="369"/>
      <c r="J41" s="370"/>
    </row>
    <row r="44" spans="1:10" ht="13" customHeight="1" x14ac:dyDescent="0.15">
      <c r="A44" s="119" t="s">
        <v>160</v>
      </c>
      <c r="B44" s="121" t="str">
        <f>A44&amp;" "&amp;ROUNDDOWN(cp_200,0)</f>
        <v>200-300m 194</v>
      </c>
      <c r="C44" s="344" t="s">
        <v>103</v>
      </c>
      <c r="D44" s="345"/>
    </row>
    <row r="45" spans="1:10" x14ac:dyDescent="0.15">
      <c r="A45" s="119" t="s">
        <v>159</v>
      </c>
      <c r="B45" s="121" t="str">
        <f>A45&amp;" "&amp;ROUNDDOWN(cp_400,0)</f>
        <v>400-500m 174</v>
      </c>
      <c r="C45" s="344" t="s">
        <v>103</v>
      </c>
      <c r="D45" s="345"/>
    </row>
    <row r="46" spans="1:10" x14ac:dyDescent="0.15">
      <c r="A46" s="119" t="s">
        <v>161</v>
      </c>
      <c r="B46" s="121" t="str">
        <f>A46&amp;" "&amp;ROUNDDOWN(cp_800,0)</f>
        <v>600-800m 163</v>
      </c>
      <c r="C46" s="344" t="s">
        <v>103</v>
      </c>
      <c r="D46" s="345"/>
    </row>
    <row r="47" spans="1:10" x14ac:dyDescent="0.15">
      <c r="A47" s="119" t="s">
        <v>162</v>
      </c>
      <c r="B47" s="121" t="str">
        <f>A47&amp;" "&amp;ROUNDDOWN(cp_1000,0)</f>
        <v>1000m 155</v>
      </c>
      <c r="C47" s="377" t="s">
        <v>102</v>
      </c>
      <c r="D47" s="378"/>
    </row>
    <row r="48" spans="1:10" x14ac:dyDescent="0.15">
      <c r="A48" s="119" t="s">
        <v>163</v>
      </c>
      <c r="B48" s="121" t="str">
        <f>A48&amp;" "&amp;ROUNDDOWN(cp_2000,0)</f>
        <v>2000m 151</v>
      </c>
      <c r="C48" s="377" t="s">
        <v>102</v>
      </c>
      <c r="D48" s="378"/>
    </row>
    <row r="49" spans="1:4" ht="13" customHeight="1" x14ac:dyDescent="0.15">
      <c r="A49" s="119" t="s">
        <v>158</v>
      </c>
      <c r="B49" s="121" t="str">
        <f>A49&amp;" "&amp;ROUNDDOWN(cp_3000,0)</f>
        <v>Seuil 147</v>
      </c>
      <c r="C49" s="371" t="s">
        <v>126</v>
      </c>
      <c r="D49" s="372"/>
    </row>
    <row r="50" spans="1:4" ht="13" customHeight="1" x14ac:dyDescent="0.15">
      <c r="A50" s="119" t="s">
        <v>166</v>
      </c>
      <c r="B50" s="121" t="str">
        <f>A50&amp;" "&amp;ROUNDDOWN(cp_semi,0)</f>
        <v>20k 147</v>
      </c>
      <c r="C50" s="373" t="s">
        <v>101</v>
      </c>
      <c r="D50" s="374"/>
    </row>
    <row r="51" spans="1:4" x14ac:dyDescent="0.15">
      <c r="A51" s="119" t="s">
        <v>156</v>
      </c>
      <c r="B51" s="121" t="str">
        <f>A51&amp;" "&amp;ROUNDDOWN(cp_endu,0)</f>
        <v>Endu 132</v>
      </c>
      <c r="C51" s="375" t="s">
        <v>51</v>
      </c>
      <c r="D51" s="376"/>
    </row>
    <row r="52" spans="1:4" x14ac:dyDescent="0.15">
      <c r="A52" s="119" t="s">
        <v>157</v>
      </c>
      <c r="B52" s="121" t="str">
        <f>A52&amp;" "&amp;ROUNDDOWN(cp_recup,0)</f>
        <v>Récup 108</v>
      </c>
      <c r="C52" s="379" t="s">
        <v>107</v>
      </c>
      <c r="D52" s="380"/>
    </row>
    <row r="53" spans="1:4" ht="13" customHeight="1" x14ac:dyDescent="0.15">
      <c r="A53" s="92"/>
    </row>
    <row r="54" spans="1:4" x14ac:dyDescent="0.15">
      <c r="A54" s="119" t="s">
        <v>167</v>
      </c>
      <c r="B54" s="124">
        <f>(all_200)/5</f>
        <v>5.7165861513687596E-4</v>
      </c>
      <c r="C54" s="344" t="s">
        <v>103</v>
      </c>
      <c r="D54" s="345"/>
    </row>
    <row r="55" spans="1:4" x14ac:dyDescent="0.15">
      <c r="A55" s="119" t="s">
        <v>168</v>
      </c>
      <c r="B55" s="124">
        <f>((all_200)/9.2)*3</f>
        <v>9.320520898970805E-4</v>
      </c>
      <c r="C55" s="344" t="s">
        <v>103</v>
      </c>
      <c r="D55" s="345"/>
    </row>
    <row r="56" spans="1:4" x14ac:dyDescent="0.15">
      <c r="A56" s="119" t="s">
        <v>172</v>
      </c>
      <c r="B56" s="124">
        <f>(all_400)/2.5</f>
        <v>1.3148148148148147E-3</v>
      </c>
      <c r="C56" s="344" t="s">
        <v>103</v>
      </c>
      <c r="D56" s="345"/>
    </row>
    <row r="57" spans="1:4" x14ac:dyDescent="0.15">
      <c r="A57" s="119" t="s">
        <v>169</v>
      </c>
      <c r="B57" s="124">
        <f>(all_400)/2</f>
        <v>1.6435185185185183E-3</v>
      </c>
      <c r="C57" s="344" t="s">
        <v>103</v>
      </c>
      <c r="D57" s="345"/>
    </row>
    <row r="58" spans="1:4" x14ac:dyDescent="0.15">
      <c r="A58" s="119" t="s">
        <v>170</v>
      </c>
      <c r="B58" s="124">
        <f>((all_800)/10)*6</f>
        <v>2.0543981481481481E-3</v>
      </c>
      <c r="C58" s="344" t="s">
        <v>103</v>
      </c>
      <c r="D58" s="345"/>
    </row>
    <row r="59" spans="1:4" x14ac:dyDescent="0.15">
      <c r="A59" s="119" t="s">
        <v>171</v>
      </c>
      <c r="B59" s="124">
        <f>((all_800)/10)*8</f>
        <v>2.7391975308641973E-3</v>
      </c>
      <c r="C59" s="344" t="s">
        <v>103</v>
      </c>
      <c r="D59" s="345"/>
    </row>
    <row r="60" spans="1:4" x14ac:dyDescent="0.15">
      <c r="A60" s="119" t="s">
        <v>162</v>
      </c>
      <c r="B60" s="124">
        <f>all_1000</f>
        <v>3.5344484269215445E-3</v>
      </c>
      <c r="C60" s="377" t="s">
        <v>102</v>
      </c>
      <c r="D60" s="378"/>
    </row>
    <row r="61" spans="1:4" x14ac:dyDescent="0.15">
      <c r="A61" s="119" t="s">
        <v>163</v>
      </c>
      <c r="B61" s="124">
        <f>T_2000</f>
        <v>3.6522633744855964E-3</v>
      </c>
      <c r="C61" s="377" t="s">
        <v>102</v>
      </c>
      <c r="D61" s="378"/>
    </row>
    <row r="62" spans="1:4" x14ac:dyDescent="0.15">
      <c r="A62" s="119" t="s">
        <v>158</v>
      </c>
      <c r="B62" s="124">
        <f>all_3000</f>
        <v>3.8221360895779495E-3</v>
      </c>
      <c r="C62" s="371" t="s">
        <v>126</v>
      </c>
      <c r="D62" s="372"/>
    </row>
    <row r="63" spans="1:4" x14ac:dyDescent="0.15">
      <c r="A63" s="119" t="s">
        <v>166</v>
      </c>
      <c r="B63" s="124">
        <f>T_20k</f>
        <v>3.8221360895779495E-3</v>
      </c>
      <c r="C63" s="373" t="s">
        <v>101</v>
      </c>
      <c r="D63" s="374"/>
    </row>
    <row r="64" spans="1:4" x14ac:dyDescent="0.15">
      <c r="A64" s="119" t="s">
        <v>156</v>
      </c>
      <c r="B64" s="124">
        <f>T_endu</f>
        <v>4.4419419419419416E-3</v>
      </c>
      <c r="C64" s="375" t="s">
        <v>51</v>
      </c>
      <c r="D64" s="376"/>
    </row>
    <row r="65" spans="1:4" x14ac:dyDescent="0.15">
      <c r="A65" s="119" t="s">
        <v>157</v>
      </c>
      <c r="B65" s="124">
        <f>T_recup</f>
        <v>5.0569800569800561E-3</v>
      </c>
      <c r="C65" s="379" t="s">
        <v>107</v>
      </c>
      <c r="D65" s="380"/>
    </row>
    <row r="68" spans="1:4" x14ac:dyDescent="0.15">
      <c r="A68" s="145">
        <v>2</v>
      </c>
      <c r="B68" s="146">
        <v>0.12986111111111112</v>
      </c>
    </row>
    <row r="69" spans="1:4" x14ac:dyDescent="0.15">
      <c r="A69" s="145">
        <v>2.25</v>
      </c>
      <c r="B69" s="146">
        <v>0.11527777777777777</v>
      </c>
    </row>
    <row r="70" spans="1:4" x14ac:dyDescent="0.15">
      <c r="A70" s="145">
        <v>2.5</v>
      </c>
      <c r="B70" s="146">
        <v>0.10347222222222223</v>
      </c>
    </row>
    <row r="71" spans="1:4" x14ac:dyDescent="0.15">
      <c r="A71" s="145">
        <v>2.75</v>
      </c>
      <c r="B71" s="146">
        <v>9.375E-2</v>
      </c>
    </row>
    <row r="72" spans="1:4" x14ac:dyDescent="0.15">
      <c r="A72" s="145">
        <v>3</v>
      </c>
      <c r="B72" s="146">
        <v>8.5416666666666655E-2</v>
      </c>
    </row>
    <row r="73" spans="1:4" x14ac:dyDescent="0.15">
      <c r="A73" s="145">
        <v>3.25</v>
      </c>
      <c r="B73" s="146">
        <v>7.8472222222222221E-2</v>
      </c>
    </row>
    <row r="74" spans="1:4" x14ac:dyDescent="0.15">
      <c r="A74" s="145">
        <v>3.5</v>
      </c>
      <c r="B74" s="146">
        <v>7.2916666666666671E-2</v>
      </c>
    </row>
    <row r="75" spans="1:4" x14ac:dyDescent="0.15">
      <c r="A75" s="145">
        <v>3.75</v>
      </c>
      <c r="B75" s="146">
        <v>6.805555555555555E-2</v>
      </c>
    </row>
    <row r="76" spans="1:4" x14ac:dyDescent="0.15">
      <c r="A76" s="145">
        <v>4</v>
      </c>
      <c r="B76" s="146">
        <v>6.3888888888888884E-2</v>
      </c>
    </row>
    <row r="77" spans="1:4" x14ac:dyDescent="0.15">
      <c r="A77" s="145">
        <v>4.25</v>
      </c>
      <c r="B77" s="146">
        <v>6.0416666666666667E-2</v>
      </c>
    </row>
    <row r="78" spans="1:4" x14ac:dyDescent="0.15">
      <c r="A78" s="145">
        <v>4.5</v>
      </c>
      <c r="B78" s="146">
        <v>5.6944444444444443E-2</v>
      </c>
    </row>
    <row r="79" spans="1:4" x14ac:dyDescent="0.15">
      <c r="A79" s="145">
        <v>4.75</v>
      </c>
      <c r="B79" s="146">
        <v>5.4166666666666669E-2</v>
      </c>
    </row>
    <row r="80" spans="1:4" x14ac:dyDescent="0.15">
      <c r="A80" s="145">
        <v>5</v>
      </c>
      <c r="B80" s="146">
        <v>5.1388888888888894E-2</v>
      </c>
    </row>
    <row r="81" spans="1:4" x14ac:dyDescent="0.15">
      <c r="A81" s="145">
        <v>5.25</v>
      </c>
      <c r="B81" s="146">
        <v>4.9305555555555554E-2</v>
      </c>
    </row>
    <row r="82" spans="1:4" x14ac:dyDescent="0.15">
      <c r="A82" s="145">
        <v>5.5</v>
      </c>
      <c r="B82" s="146">
        <v>4.6527777777777779E-2</v>
      </c>
    </row>
    <row r="83" spans="1:4" x14ac:dyDescent="0.15">
      <c r="A83" s="145">
        <v>5.75</v>
      </c>
      <c r="B83" s="146">
        <v>4.5138888888888888E-2</v>
      </c>
    </row>
    <row r="84" spans="1:4" x14ac:dyDescent="0.15">
      <c r="A84" s="145">
        <v>6</v>
      </c>
      <c r="B84" s="146">
        <v>4.3055555555555562E-2</v>
      </c>
    </row>
    <row r="85" spans="1:4" x14ac:dyDescent="0.15">
      <c r="A85" s="145">
        <v>6.25</v>
      </c>
      <c r="B85" s="146">
        <v>4.1666666666666664E-2</v>
      </c>
    </row>
    <row r="86" spans="1:4" x14ac:dyDescent="0.15">
      <c r="A86" s="145">
        <v>6.5</v>
      </c>
      <c r="B86" s="146">
        <v>4.027777777777778E-2</v>
      </c>
      <c r="D86" s="92">
        <v>0.25559999999999999</v>
      </c>
    </row>
    <row r="87" spans="1:4" x14ac:dyDescent="0.15">
      <c r="D87" s="92">
        <v>-1.0029999999999999</v>
      </c>
    </row>
  </sheetData>
  <sheetProtection algorithmName="SHA-512" hashValue="/G+CgG/PKOJmbGy7EjRm/MIE0VB6XnTuneMW66DFsMN9PEiX8Y3ccBUBS39W0aDaczQJtsgktxVZer2KqMLi7w==" saltValue="Ew75qQXUR4xQlwDbfYv3lQ==" spinCount="100000" sheet="1" objects="1" scenarios="1"/>
  <mergeCells count="42">
    <mergeCell ref="C62:D62"/>
    <mergeCell ref="C63:D63"/>
    <mergeCell ref="C64:D64"/>
    <mergeCell ref="C65:D65"/>
    <mergeCell ref="C52:D52"/>
    <mergeCell ref="C60:D60"/>
    <mergeCell ref="C61:D61"/>
    <mergeCell ref="C57:D57"/>
    <mergeCell ref="C58:D58"/>
    <mergeCell ref="C59:D59"/>
    <mergeCell ref="C49:D49"/>
    <mergeCell ref="C50:D50"/>
    <mergeCell ref="C51:D51"/>
    <mergeCell ref="C46:D46"/>
    <mergeCell ref="C47:D47"/>
    <mergeCell ref="C48:D48"/>
    <mergeCell ref="A41:B41"/>
    <mergeCell ref="C41:F41"/>
    <mergeCell ref="G41:J41"/>
    <mergeCell ref="C44:D44"/>
    <mergeCell ref="C45:D45"/>
    <mergeCell ref="A39:B39"/>
    <mergeCell ref="C39:F39"/>
    <mergeCell ref="C55:D55"/>
    <mergeCell ref="C56:D56"/>
    <mergeCell ref="G36:J36"/>
    <mergeCell ref="A37:B37"/>
    <mergeCell ref="C37:F37"/>
    <mergeCell ref="G37:J37"/>
    <mergeCell ref="A38:B38"/>
    <mergeCell ref="C38:F38"/>
    <mergeCell ref="G38:J38"/>
    <mergeCell ref="G39:J39"/>
    <mergeCell ref="A40:B40"/>
    <mergeCell ref="C40:F40"/>
    <mergeCell ref="G40:J40"/>
    <mergeCell ref="C54:D54"/>
    <mergeCell ref="A8:F8"/>
    <mergeCell ref="C9:D9"/>
    <mergeCell ref="E9:F9"/>
    <mergeCell ref="A36:B36"/>
    <mergeCell ref="C36:F36"/>
  </mergeCells>
  <phoneticPr fontId="2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6"/>
  </sheetPr>
  <dimension ref="A6:J40"/>
  <sheetViews>
    <sheetView workbookViewId="0">
      <selection activeCell="J31" sqref="J31:J32"/>
    </sheetView>
  </sheetViews>
  <sheetFormatPr baseColWidth="10" defaultColWidth="12.5" defaultRowHeight="13" x14ac:dyDescent="0.15"/>
  <cols>
    <col min="1" max="1" width="16.83203125" customWidth="1"/>
    <col min="2" max="10" width="10.6640625" customWidth="1"/>
  </cols>
  <sheetData>
    <row r="6" spans="1:10" ht="14" thickBot="1" x14ac:dyDescent="0.2"/>
    <row r="7" spans="1:10" ht="29.25" customHeight="1" thickBot="1" x14ac:dyDescent="0.25">
      <c r="A7" s="53" t="s">
        <v>4</v>
      </c>
      <c r="B7" s="54" t="s">
        <v>5</v>
      </c>
      <c r="C7" s="69">
        <v>18.399999999999999</v>
      </c>
      <c r="D7" s="55" t="s">
        <v>6</v>
      </c>
      <c r="E7" s="5"/>
      <c r="F7" s="1"/>
      <c r="G7" s="1"/>
      <c r="H7" s="1"/>
      <c r="I7" s="1"/>
      <c r="J7" s="1"/>
    </row>
    <row r="8" spans="1:10" ht="17" thickBot="1" x14ac:dyDescent="0.25">
      <c r="A8" s="5"/>
      <c r="B8" s="8"/>
      <c r="C8" s="9"/>
      <c r="D8" s="10"/>
      <c r="E8" s="5"/>
      <c r="F8" s="5"/>
      <c r="G8" s="5"/>
      <c r="H8" s="5"/>
      <c r="I8" s="5"/>
      <c r="J8" s="5"/>
    </row>
    <row r="9" spans="1:10" ht="20" x14ac:dyDescent="0.2">
      <c r="A9" s="47" t="s">
        <v>84</v>
      </c>
      <c r="B9" s="386" t="s">
        <v>7</v>
      </c>
      <c r="C9" s="387"/>
      <c r="D9" s="387"/>
      <c r="E9" s="387"/>
      <c r="F9" s="387"/>
      <c r="G9" s="387"/>
      <c r="H9" s="387"/>
      <c r="I9" s="387"/>
      <c r="J9" s="388"/>
    </row>
    <row r="10" spans="1:10" ht="19" thickBot="1" x14ac:dyDescent="0.25">
      <c r="A10" s="52" t="s">
        <v>85</v>
      </c>
      <c r="B10" s="389" t="s">
        <v>8</v>
      </c>
      <c r="C10" s="390"/>
      <c r="D10" s="390"/>
      <c r="E10" s="390"/>
      <c r="F10" s="390"/>
      <c r="G10" s="390"/>
      <c r="H10" s="390"/>
      <c r="I10" s="390"/>
      <c r="J10" s="391"/>
    </row>
    <row r="11" spans="1:10" ht="24.75" customHeight="1" thickBot="1" x14ac:dyDescent="0.25">
      <c r="A11" s="43" t="s">
        <v>5</v>
      </c>
      <c r="B11" s="44">
        <v>100</v>
      </c>
      <c r="C11" s="45">
        <v>200</v>
      </c>
      <c r="D11" s="45">
        <v>400</v>
      </c>
      <c r="E11" s="45">
        <v>600</v>
      </c>
      <c r="F11" s="45">
        <v>800</v>
      </c>
      <c r="G11" s="45">
        <v>1000</v>
      </c>
      <c r="H11" s="45">
        <v>1500</v>
      </c>
      <c r="I11" s="45">
        <v>2000</v>
      </c>
      <c r="J11" s="46">
        <v>3000</v>
      </c>
    </row>
    <row r="12" spans="1:10" ht="22" customHeight="1" x14ac:dyDescent="0.2">
      <c r="A12" s="47">
        <v>85</v>
      </c>
      <c r="B12" s="56">
        <f>((100*0.04167)/(C7*10*A12))</f>
        <v>2.6643222506393861E-4</v>
      </c>
      <c r="C12" s="57">
        <f>((200*0.04167)/(C7*10*A12))</f>
        <v>5.3286445012787722E-4</v>
      </c>
      <c r="D12" s="57">
        <f>((400*0.04167)/(C7*10*A12))</f>
        <v>1.0657289002557544E-3</v>
      </c>
      <c r="E12" s="57">
        <f>((600*0.04167)/(C7*10*A12))</f>
        <v>1.5985933503836315E-3</v>
      </c>
      <c r="F12" s="57">
        <f>((800*0.04167)/(C7*10*A12))</f>
        <v>2.1314578005115089E-3</v>
      </c>
      <c r="G12" s="57">
        <f>((1000*0.04167)/(C7*10*A12))</f>
        <v>2.6643222506393862E-3</v>
      </c>
      <c r="H12" s="57">
        <f>((1500*0.04167)/(C7*10*A12))</f>
        <v>3.9964833759590793E-3</v>
      </c>
      <c r="I12" s="57">
        <f>((2000*0.04167)/(C7*10*A12))</f>
        <v>5.3286445012787724E-3</v>
      </c>
      <c r="J12" s="58">
        <f>((3000*0.04167)/(C7*10*A12))</f>
        <v>7.9929667519181586E-3</v>
      </c>
    </row>
    <row r="13" spans="1:10" ht="22" customHeight="1" x14ac:dyDescent="0.2">
      <c r="A13" s="48">
        <v>90</v>
      </c>
      <c r="B13" s="59">
        <f>((100*0.04167)/(C7*10*A13))</f>
        <v>2.5163043478260871E-4</v>
      </c>
      <c r="C13" s="60">
        <f>((200*0.04167)/(C7*10*A13))</f>
        <v>5.0326086956521741E-4</v>
      </c>
      <c r="D13" s="60">
        <f>((400*0.04167)/(C7*10*A13))</f>
        <v>1.0065217391304348E-3</v>
      </c>
      <c r="E13" s="60">
        <f>((600*0.04167)/(C7*10*A13))</f>
        <v>1.5097826086956521E-3</v>
      </c>
      <c r="F13" s="60">
        <f>((800*0.04167)/(C7*10*A13))</f>
        <v>2.0130434782608697E-3</v>
      </c>
      <c r="G13" s="60">
        <f>((1000*0.04167)/(C7*10*A13))</f>
        <v>2.516304347826087E-3</v>
      </c>
      <c r="H13" s="60">
        <f>((1500*0.04167)/(C7*10*A13))</f>
        <v>3.77445652173913E-3</v>
      </c>
      <c r="I13" s="60">
        <f>((2000*0.04167)/(C7*10*A13))</f>
        <v>5.0326086956521739E-3</v>
      </c>
      <c r="J13" s="61">
        <f>((3000*0.04167)/(C7*10*A13))</f>
        <v>7.54891304347826E-3</v>
      </c>
    </row>
    <row r="14" spans="1:10" ht="22" customHeight="1" x14ac:dyDescent="0.2">
      <c r="A14" s="49">
        <v>95</v>
      </c>
      <c r="B14" s="59">
        <f>((100*0.04167)/(C7*10*A14))</f>
        <v>2.3838672768878718E-4</v>
      </c>
      <c r="C14" s="60">
        <f>((200*0.04167)/(C7*10*A14))</f>
        <v>4.7677345537757435E-4</v>
      </c>
      <c r="D14" s="60">
        <f>((400*0.04167)/(C7*10*A14))</f>
        <v>9.535469107551487E-4</v>
      </c>
      <c r="E14" s="60">
        <f>((600*0.04167)/(C7*10*A14))</f>
        <v>1.430320366132723E-3</v>
      </c>
      <c r="F14" s="60">
        <f>((800*0.04167)/(C7*10*A14))</f>
        <v>1.9070938215102974E-3</v>
      </c>
      <c r="G14" s="60">
        <f>((1000*0.04167)/(C7*10*A14))</f>
        <v>2.383867276887872E-3</v>
      </c>
      <c r="H14" s="60">
        <f>((1500*0.04167)/(C7*10*A14))</f>
        <v>3.5758009153318074E-3</v>
      </c>
      <c r="I14" s="60">
        <f>((2000*0.04167)/(C7*10*A14))</f>
        <v>4.767734553775744E-3</v>
      </c>
      <c r="J14" s="61">
        <f>((3000*0.04167)/(C7*10*A14))</f>
        <v>7.1516018306636148E-3</v>
      </c>
    </row>
    <row r="15" spans="1:10" ht="22" customHeight="1" x14ac:dyDescent="0.2">
      <c r="A15" s="50">
        <v>100</v>
      </c>
      <c r="B15" s="59">
        <f>((100*0.04167)/(C7*10*A15))</f>
        <v>2.2646739130434781E-4</v>
      </c>
      <c r="C15" s="60">
        <f>((200*0.04167)/(C7*10*A15))</f>
        <v>4.5293478260869562E-4</v>
      </c>
      <c r="D15" s="60">
        <f>((400*0.04167)/(C7*10*A15))</f>
        <v>9.0586956521739124E-4</v>
      </c>
      <c r="E15" s="60">
        <f>((600*0.04167)/(C7*10*A15))</f>
        <v>1.3588043478260869E-3</v>
      </c>
      <c r="F15" s="60">
        <f>((800*0.04167)/(C7*10*A15))</f>
        <v>1.8117391304347825E-3</v>
      </c>
      <c r="G15" s="60">
        <f>((1000*0.04167)/(C7*10*A15))</f>
        <v>2.2646739130434785E-3</v>
      </c>
      <c r="H15" s="60">
        <f>((1500*0.04167)/(C7*10*A15))</f>
        <v>3.3970108695652169E-3</v>
      </c>
      <c r="I15" s="60">
        <f>((2000*0.04167)/(C7*10*A15))</f>
        <v>4.5293478260869571E-3</v>
      </c>
      <c r="J15" s="61">
        <f>((3000*0.04167)/(C7*10*A15))</f>
        <v>6.7940217391304339E-3</v>
      </c>
    </row>
    <row r="16" spans="1:10" ht="22" customHeight="1" x14ac:dyDescent="0.2">
      <c r="A16" s="50">
        <v>105</v>
      </c>
      <c r="B16" s="59">
        <f>((100*0.04167)/(C7*10*A16))</f>
        <v>2.1568322981366459E-4</v>
      </c>
      <c r="C16" s="60">
        <f>((200*0.04167)/(C7*10*A16))</f>
        <v>4.3136645962732917E-4</v>
      </c>
      <c r="D16" s="60">
        <f>((400*0.04167)/(C7*10*A16))</f>
        <v>8.6273291925465835E-4</v>
      </c>
      <c r="E16" s="60">
        <f>((600*0.04167)/(C7*10*A16))</f>
        <v>1.2940993788819876E-3</v>
      </c>
      <c r="F16" s="60">
        <f>((800*0.04167)/(C7*10*A16))</f>
        <v>1.7254658385093167E-3</v>
      </c>
      <c r="G16" s="60">
        <f>((1000*0.04167)/(C7*10*A16))</f>
        <v>2.156832298136646E-3</v>
      </c>
      <c r="H16" s="60">
        <f>((1500*0.04167)/(C7*10*A16))</f>
        <v>3.2352484472049688E-3</v>
      </c>
      <c r="I16" s="60">
        <f>((2000*0.04167)/(C7*10*A16))</f>
        <v>4.3136645962732921E-3</v>
      </c>
      <c r="J16" s="61">
        <f>((3000*0.04167)/(C7*10*A16))</f>
        <v>6.4704968944099377E-3</v>
      </c>
    </row>
    <row r="17" spans="1:10" ht="22" customHeight="1" thickBot="1" x14ac:dyDescent="0.25">
      <c r="A17" s="51">
        <v>117</v>
      </c>
      <c r="B17" s="62">
        <f>((100*0.04167)/(C7*10*A17))</f>
        <v>1.9356187290969898E-4</v>
      </c>
      <c r="C17" s="63">
        <f>((200*0.04167)/(C7*10*A17))</f>
        <v>3.8712374581939795E-4</v>
      </c>
      <c r="D17" s="63">
        <f>((400*0.04167)/(C7*10*A17))</f>
        <v>7.7424749163879591E-4</v>
      </c>
      <c r="E17" s="63">
        <f>((600*0.04167)/(C7*10*A17))</f>
        <v>1.161371237458194E-3</v>
      </c>
      <c r="F17" s="63">
        <f>((800*0.04167)/(C7*10*A17))</f>
        <v>1.5484949832775918E-3</v>
      </c>
      <c r="G17" s="63">
        <f>((1000*0.04167)/(C7*10*A17))</f>
        <v>1.9356187290969901E-3</v>
      </c>
      <c r="H17" s="63">
        <f>((1500*0.04167)/(C7*10*A17))</f>
        <v>2.9034280936454846E-3</v>
      </c>
      <c r="I17" s="63">
        <f>((2000*0.04167)/(C7*10*A17))</f>
        <v>3.8712374581939802E-3</v>
      </c>
      <c r="J17" s="64">
        <f>((3000*0.04167)/(C7*10*A17))</f>
        <v>5.8068561872909692E-3</v>
      </c>
    </row>
    <row r="18" spans="1:10" s="1" customFormat="1" ht="19" customHeight="1" thickBo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22" customHeight="1" thickBot="1" x14ac:dyDescent="0.25">
      <c r="A19" s="381" t="s">
        <v>9</v>
      </c>
      <c r="B19" s="382"/>
      <c r="C19" s="382"/>
      <c r="D19" s="383"/>
      <c r="E19" s="383"/>
      <c r="F19" s="383"/>
      <c r="G19" s="384"/>
      <c r="H19" s="5"/>
      <c r="I19" s="1"/>
      <c r="J19" s="1"/>
    </row>
    <row r="20" spans="1:10" ht="22" customHeight="1" thickBot="1" x14ac:dyDescent="0.25">
      <c r="A20" s="75" t="s">
        <v>10</v>
      </c>
      <c r="B20" s="76">
        <v>100</v>
      </c>
      <c r="C20" s="71"/>
      <c r="D20" s="71"/>
      <c r="E20" s="71"/>
      <c r="F20" s="71"/>
      <c r="G20" s="72"/>
      <c r="H20" s="5"/>
      <c r="I20" s="1"/>
      <c r="J20" s="1"/>
    </row>
    <row r="21" spans="1:10" ht="22" customHeight="1" thickBot="1" x14ac:dyDescent="0.25">
      <c r="A21" s="66" t="s">
        <v>11</v>
      </c>
      <c r="B21" s="67">
        <v>1000</v>
      </c>
      <c r="C21" s="68" t="s">
        <v>12</v>
      </c>
      <c r="D21" s="73"/>
      <c r="E21" s="65" t="s">
        <v>13</v>
      </c>
      <c r="F21" s="70">
        <f>(B21*0.04167)/(C7*10*B20)</f>
        <v>2.2646739130434785E-3</v>
      </c>
      <c r="G21" s="74"/>
      <c r="H21" s="5"/>
      <c r="I21" s="1"/>
      <c r="J21" s="1"/>
    </row>
    <row r="22" spans="1:10" s="1" customFormat="1" ht="16" x14ac:dyDescent="0.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15">
      <c r="A23" s="392"/>
      <c r="B23" s="11"/>
      <c r="C23" s="393"/>
      <c r="D23" s="393"/>
      <c r="E23" s="394"/>
      <c r="F23" s="394"/>
      <c r="G23" s="393"/>
      <c r="H23" s="393"/>
      <c r="I23" s="393"/>
      <c r="J23" s="395"/>
    </row>
    <row r="24" spans="1:10" x14ac:dyDescent="0.15">
      <c r="A24" s="392"/>
      <c r="B24" s="11"/>
      <c r="C24" s="393"/>
      <c r="D24" s="393"/>
      <c r="E24" s="394"/>
      <c r="F24" s="394"/>
      <c r="G24" s="393"/>
      <c r="H24" s="393"/>
      <c r="I24" s="393"/>
      <c r="J24" s="395"/>
    </row>
    <row r="25" spans="1:10" x14ac:dyDescent="0.15">
      <c r="A25" s="396"/>
      <c r="B25" s="385"/>
      <c r="C25" s="397"/>
      <c r="D25" s="397"/>
      <c r="E25" s="385"/>
      <c r="F25" s="385"/>
      <c r="G25" s="385"/>
      <c r="H25" s="385"/>
      <c r="I25" s="385"/>
      <c r="J25" s="385"/>
    </row>
    <row r="26" spans="1:10" x14ac:dyDescent="0.15">
      <c r="A26" s="396"/>
      <c r="B26" s="385"/>
      <c r="C26" s="397"/>
      <c r="D26" s="397"/>
      <c r="E26" s="385"/>
      <c r="F26" s="385"/>
      <c r="G26" s="13"/>
      <c r="H26" s="14"/>
      <c r="I26" s="13"/>
      <c r="J26" s="385"/>
    </row>
    <row r="27" spans="1:10" ht="14" x14ac:dyDescent="0.15">
      <c r="A27" s="12"/>
      <c r="B27" s="13"/>
      <c r="C27" s="385"/>
      <c r="D27" s="385"/>
      <c r="E27" s="385"/>
      <c r="F27" s="385"/>
      <c r="G27" s="385"/>
      <c r="H27" s="385"/>
      <c r="I27" s="385"/>
      <c r="J27" s="13"/>
    </row>
    <row r="28" spans="1:10" ht="14" x14ac:dyDescent="0.15">
      <c r="A28" s="12"/>
      <c r="B28" s="13"/>
      <c r="C28" s="397"/>
      <c r="D28" s="397"/>
      <c r="E28" s="397"/>
      <c r="F28" s="397"/>
      <c r="G28" s="385"/>
      <c r="H28" s="385"/>
      <c r="I28" s="385"/>
      <c r="J28" s="13"/>
    </row>
    <row r="29" spans="1:10" ht="14" x14ac:dyDescent="0.15">
      <c r="A29" s="12"/>
      <c r="B29" s="13"/>
      <c r="C29" s="385"/>
      <c r="D29" s="385"/>
      <c r="E29" s="385"/>
      <c r="F29" s="385"/>
      <c r="G29" s="385"/>
      <c r="H29" s="385"/>
      <c r="I29" s="385"/>
      <c r="J29" s="13"/>
    </row>
    <row r="30" spans="1:10" ht="14" x14ac:dyDescent="0.15">
      <c r="A30" s="12"/>
      <c r="B30" s="13"/>
      <c r="C30" s="385"/>
      <c r="D30" s="385"/>
      <c r="E30" s="385"/>
      <c r="F30" s="385"/>
      <c r="G30" s="385"/>
      <c r="H30" s="385"/>
      <c r="I30" s="385"/>
      <c r="J30" s="13"/>
    </row>
    <row r="31" spans="1:10" x14ac:dyDescent="0.15">
      <c r="A31" s="396"/>
      <c r="B31" s="385"/>
      <c r="C31" s="385"/>
      <c r="D31" s="385"/>
      <c r="E31" s="385"/>
      <c r="F31" s="385"/>
      <c r="G31" s="385"/>
      <c r="H31" s="385"/>
      <c r="I31" s="385"/>
      <c r="J31" s="385"/>
    </row>
    <row r="32" spans="1:10" x14ac:dyDescent="0.15">
      <c r="A32" s="396"/>
      <c r="B32" s="385"/>
      <c r="C32" s="385"/>
      <c r="D32" s="385"/>
      <c r="E32" s="13"/>
      <c r="F32" s="13"/>
      <c r="G32" s="13"/>
      <c r="H32" s="13"/>
      <c r="I32" s="13"/>
      <c r="J32" s="385"/>
    </row>
    <row r="33" spans="1:10" x14ac:dyDescent="0.15">
      <c r="A33" s="396"/>
      <c r="B33" s="385"/>
      <c r="C33" s="385"/>
      <c r="D33" s="385"/>
      <c r="E33" s="385"/>
      <c r="F33" s="385"/>
      <c r="G33" s="385"/>
      <c r="H33" s="385"/>
      <c r="I33" s="385"/>
      <c r="J33" s="385"/>
    </row>
    <row r="34" spans="1:10" x14ac:dyDescent="0.15">
      <c r="A34" s="396"/>
      <c r="B34" s="385"/>
      <c r="C34" s="13"/>
      <c r="D34" s="13"/>
      <c r="E34" s="385"/>
      <c r="F34" s="385"/>
      <c r="G34" s="385"/>
      <c r="H34" s="385"/>
      <c r="I34" s="385"/>
      <c r="J34" s="385"/>
    </row>
    <row r="35" spans="1:10" ht="14" x14ac:dyDescent="0.15">
      <c r="A35" s="12"/>
      <c r="B35" s="13"/>
      <c r="C35" s="401"/>
      <c r="D35" s="401"/>
      <c r="E35" s="385"/>
      <c r="F35" s="385"/>
      <c r="G35" s="385"/>
      <c r="H35" s="385"/>
      <c r="I35" s="385"/>
      <c r="J35" s="13"/>
    </row>
    <row r="36" spans="1:10" x14ac:dyDescent="0.15">
      <c r="A36" s="396"/>
      <c r="B36" s="385"/>
      <c r="C36" s="385"/>
      <c r="D36" s="385"/>
      <c r="E36" s="385"/>
      <c r="F36" s="385"/>
      <c r="G36" s="385"/>
      <c r="H36" s="385"/>
      <c r="I36" s="385"/>
      <c r="J36" s="15"/>
    </row>
    <row r="37" spans="1:10" x14ac:dyDescent="0.15">
      <c r="A37" s="396"/>
      <c r="B37" s="385"/>
      <c r="C37" s="385"/>
      <c r="D37" s="385"/>
      <c r="E37" s="385"/>
      <c r="F37" s="385"/>
      <c r="G37" s="385"/>
      <c r="H37" s="385"/>
      <c r="I37" s="385"/>
      <c r="J37" s="15"/>
    </row>
    <row r="38" spans="1:10" ht="21.5" customHeight="1" x14ac:dyDescent="0.15">
      <c r="A38" s="16"/>
      <c r="B38" s="398"/>
      <c r="C38" s="399"/>
      <c r="D38" s="399"/>
      <c r="E38" s="399"/>
      <c r="F38" s="399"/>
      <c r="G38" s="399"/>
      <c r="H38" s="399"/>
      <c r="I38" s="399"/>
      <c r="J38" s="17"/>
    </row>
    <row r="39" spans="1:10" ht="16" x14ac:dyDescent="0.2">
      <c r="A39" s="400"/>
      <c r="B39" s="400"/>
      <c r="C39" s="400"/>
      <c r="D39" s="400"/>
      <c r="E39" s="400"/>
      <c r="F39" s="400"/>
      <c r="G39" s="400"/>
      <c r="H39" s="400"/>
      <c r="I39" s="400"/>
      <c r="J39" s="400"/>
    </row>
    <row r="40" spans="1:10" ht="16" x14ac:dyDescent="0.2">
      <c r="A40" s="400"/>
      <c r="B40" s="400"/>
      <c r="C40" s="400"/>
      <c r="D40" s="400"/>
      <c r="E40" s="400"/>
      <c r="F40" s="400"/>
      <c r="G40" s="400"/>
      <c r="H40" s="400"/>
      <c r="I40" s="400"/>
      <c r="J40" s="400"/>
    </row>
  </sheetData>
  <sheetProtection algorithmName="SHA-512" hashValue="VWHQWVDX0yINZ8NSIBKH4oIpatMKWLXfkmqL2oAmonbyp5CMMefRHT08OWwceEfn2jcV8veWbiRMR+fe0uvZjQ==" saltValue="NmODDPOEJHYx0DiQ21rV7A==" spinCount="100000" sheet="1" objects="1" scenarios="1"/>
  <mergeCells count="52">
    <mergeCell ref="B38:I38"/>
    <mergeCell ref="A39:J39"/>
    <mergeCell ref="A40:J40"/>
    <mergeCell ref="C35:D35"/>
    <mergeCell ref="E35:F35"/>
    <mergeCell ref="G35:I35"/>
    <mergeCell ref="A36:A37"/>
    <mergeCell ref="B36:D36"/>
    <mergeCell ref="E36:F36"/>
    <mergeCell ref="G36:I36"/>
    <mergeCell ref="B37:D37"/>
    <mergeCell ref="E37:F37"/>
    <mergeCell ref="G37:I37"/>
    <mergeCell ref="J31:J32"/>
    <mergeCell ref="G33:I34"/>
    <mergeCell ref="J33:J34"/>
    <mergeCell ref="A33:A34"/>
    <mergeCell ref="B33:B34"/>
    <mergeCell ref="C33:D33"/>
    <mergeCell ref="E33:F34"/>
    <mergeCell ref="A31:A32"/>
    <mergeCell ref="B31:B32"/>
    <mergeCell ref="C31:D32"/>
    <mergeCell ref="E31:F31"/>
    <mergeCell ref="G31:I31"/>
    <mergeCell ref="J25:J26"/>
    <mergeCell ref="E24:F24"/>
    <mergeCell ref="C30:D30"/>
    <mergeCell ref="E30:F30"/>
    <mergeCell ref="C28:D28"/>
    <mergeCell ref="E28:F28"/>
    <mergeCell ref="G28:I28"/>
    <mergeCell ref="C29:D29"/>
    <mergeCell ref="E29:F29"/>
    <mergeCell ref="G29:I29"/>
    <mergeCell ref="G30:I30"/>
    <mergeCell ref="A19:G19"/>
    <mergeCell ref="C27:D27"/>
    <mergeCell ref="E27:F27"/>
    <mergeCell ref="G27:I27"/>
    <mergeCell ref="B9:J9"/>
    <mergeCell ref="B10:J10"/>
    <mergeCell ref="A23:A24"/>
    <mergeCell ref="C23:D24"/>
    <mergeCell ref="E23:F23"/>
    <mergeCell ref="G23:I24"/>
    <mergeCell ref="J23:J24"/>
    <mergeCell ref="A25:A26"/>
    <mergeCell ref="B25:B26"/>
    <mergeCell ref="C25:D26"/>
    <mergeCell ref="E25:F26"/>
    <mergeCell ref="G25:I25"/>
  </mergeCells>
  <phoneticPr fontId="0" type="noConversion"/>
  <printOptions horizontalCentered="1" verticalCentered="1"/>
  <pageMargins left="0.59055118110236227" right="0.59055118110236227" top="0.78740157480314965" bottom="0.78740157480314965" header="0.51181102362204722" footer="0.51181102362204722"/>
  <pageSetup paperSize="9" firstPageNumber="0" orientation="landscape" cellComments="asDisplayed" horizontalDpi="300" verticalDpi="3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107</vt:i4>
      </vt:variant>
    </vt:vector>
  </HeadingPairs>
  <TitlesOfParts>
    <vt:vector size="114" baseType="lpstr">
      <vt:lpstr>Accueil</vt:lpstr>
      <vt:lpstr>Etalonnage</vt:lpstr>
      <vt:lpstr>21,1 Km 5 ent.</vt:lpstr>
      <vt:lpstr>21,1 Km 4 ent.</vt:lpstr>
      <vt:lpstr>21,1 Km 3 ent.</vt:lpstr>
      <vt:lpstr>constantes</vt:lpstr>
      <vt:lpstr>VMA</vt:lpstr>
      <vt:lpstr>al_marathon</vt:lpstr>
      <vt:lpstr>al_semi</vt:lpstr>
      <vt:lpstr>all_1000</vt:lpstr>
      <vt:lpstr>all_200</vt:lpstr>
      <vt:lpstr>all_3000</vt:lpstr>
      <vt:lpstr>all_400</vt:lpstr>
      <vt:lpstr>all_800</vt:lpstr>
      <vt:lpstr>allure_vma</vt:lpstr>
      <vt:lpstr>allure_vma_sec</vt:lpstr>
      <vt:lpstr>cat_km</vt:lpstr>
      <vt:lpstr>cat_kmh</vt:lpstr>
      <vt:lpstr>cat_object</vt:lpstr>
      <vt:lpstr>cat_sec</vt:lpstr>
      <vt:lpstr>cat_test_3</vt:lpstr>
      <vt:lpstr>cat_vitesse</vt:lpstr>
      <vt:lpstr>cp</vt:lpstr>
      <vt:lpstr>cp_1000</vt:lpstr>
      <vt:lpstr>cp_200</vt:lpstr>
      <vt:lpstr>cp_2000</vt:lpstr>
      <vt:lpstr>cp_3000</vt:lpstr>
      <vt:lpstr>cp_400</vt:lpstr>
      <vt:lpstr>cp_800</vt:lpstr>
      <vt:lpstr>cp_endu</vt:lpstr>
      <vt:lpstr>cp_max</vt:lpstr>
      <vt:lpstr>cp_recup</vt:lpstr>
      <vt:lpstr>cp_semi</vt:lpstr>
      <vt:lpstr>cp_test</vt:lpstr>
      <vt:lpstr>D_test</vt:lpstr>
      <vt:lpstr>dist_marathon</vt:lpstr>
      <vt:lpstr>dist_semi</vt:lpstr>
      <vt:lpstr>dist_vma</vt:lpstr>
      <vt:lpstr>dist_vma_min</vt:lpstr>
      <vt:lpstr>endurance</vt:lpstr>
      <vt:lpstr>facile</vt:lpstr>
      <vt:lpstr>fc_100</vt:lpstr>
      <vt:lpstr>fc_1200</vt:lpstr>
      <vt:lpstr>fc_200</vt:lpstr>
      <vt:lpstr>fc_300</vt:lpstr>
      <vt:lpstr>fc_3000</vt:lpstr>
      <vt:lpstr>fc_400</vt:lpstr>
      <vt:lpstr>fc_500</vt:lpstr>
      <vt:lpstr>fc_700</vt:lpstr>
      <vt:lpstr>fc_800</vt:lpstr>
      <vt:lpstr>fc_ana</vt:lpstr>
      <vt:lpstr>fc_marathon</vt:lpstr>
      <vt:lpstr>fc_max</vt:lpstr>
      <vt:lpstr>fc_repos</vt:lpstr>
      <vt:lpstr>fc_semi</vt:lpstr>
      <vt:lpstr>fc_x</vt:lpstr>
      <vt:lpstr>ind_vma</vt:lpstr>
      <vt:lpstr>k_10</vt:lpstr>
      <vt:lpstr>k_aero</vt:lpstr>
      <vt:lpstr>k_anaero</vt:lpstr>
      <vt:lpstr>K_facile</vt:lpstr>
      <vt:lpstr>k_marat</vt:lpstr>
      <vt:lpstr>k_recup</vt:lpstr>
      <vt:lpstr>k_semi</vt:lpstr>
      <vt:lpstr>k_semi_2</vt:lpstr>
      <vt:lpstr>K_test</vt:lpstr>
      <vt:lpstr>k_vma</vt:lpstr>
      <vt:lpstr>marathon</vt:lpstr>
      <vt:lpstr>mdate</vt:lpstr>
      <vt:lpstr>objectif</vt:lpstr>
      <vt:lpstr>R_100</vt:lpstr>
      <vt:lpstr>R_1000</vt:lpstr>
      <vt:lpstr>R_200</vt:lpstr>
      <vt:lpstr>R_300</vt:lpstr>
      <vt:lpstr>R_400</vt:lpstr>
      <vt:lpstr>R_500</vt:lpstr>
      <vt:lpstr>recup</vt:lpstr>
      <vt:lpstr>references</vt:lpstr>
      <vt:lpstr>'21,1 Km 3 ent.'!serie_100</vt:lpstr>
      <vt:lpstr>'21,1 Km 4 ent.'!serie_100</vt:lpstr>
      <vt:lpstr>'21,1 Km 5 ent.'!serie_100</vt:lpstr>
      <vt:lpstr>seuil</vt:lpstr>
      <vt:lpstr>seuil_ana</vt:lpstr>
      <vt:lpstr>seuil_ana_obj</vt:lpstr>
      <vt:lpstr>T_100</vt:lpstr>
      <vt:lpstr>T_1000</vt:lpstr>
      <vt:lpstr>T_10k</vt:lpstr>
      <vt:lpstr>T_200</vt:lpstr>
      <vt:lpstr>T_2000</vt:lpstr>
      <vt:lpstr>T_20k</vt:lpstr>
      <vt:lpstr>T_300</vt:lpstr>
      <vt:lpstr>T_3000</vt:lpstr>
      <vt:lpstr>T_3600</vt:lpstr>
      <vt:lpstr>T_400</vt:lpstr>
      <vt:lpstr>t_4000</vt:lpstr>
      <vt:lpstr>T_500</vt:lpstr>
      <vt:lpstr>T_800</vt:lpstr>
      <vt:lpstr>T_endu</vt:lpstr>
      <vt:lpstr>T_recup</vt:lpstr>
      <vt:lpstr>T_semi</vt:lpstr>
      <vt:lpstr>t_th_marathon</vt:lpstr>
      <vt:lpstr>t_x</vt:lpstr>
      <vt:lpstr>VMA!TABLE</vt:lpstr>
      <vt:lpstr>VMA!TABLE_2</vt:lpstr>
      <vt:lpstr>VMA!TABLE_3</vt:lpstr>
      <vt:lpstr>VMA!TABLE_4</vt:lpstr>
      <vt:lpstr>VMA!TABLE_5</vt:lpstr>
      <vt:lpstr>theo_marathon</vt:lpstr>
      <vt:lpstr>v_vma</vt:lpstr>
      <vt:lpstr>v_vma_obj_kmh</vt:lpstr>
      <vt:lpstr>vma_1000_obj</vt:lpstr>
      <vt:lpstr>VMA_kmh</vt:lpstr>
      <vt:lpstr>vma_obj_km</vt:lpstr>
      <vt:lpstr>z_travail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Préparation 20 KM</dc:title>
  <dc:subject>Logiciel Zatopek.be</dc:subject>
  <dc:creator>Roger IGO</dc:creator>
  <cp:lastModifiedBy>Microsoft Office User</cp:lastModifiedBy>
  <cp:revision>1</cp:revision>
  <cp:lastPrinted>2022-03-10T14:26:04Z</cp:lastPrinted>
  <dcterms:created xsi:type="dcterms:W3CDTF">2002-01-09T20:52:19Z</dcterms:created>
  <dcterms:modified xsi:type="dcterms:W3CDTF">2022-10-11T13:59:58Z</dcterms:modified>
</cp:coreProperties>
</file>