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0" yWindow="700" windowWidth="28500" windowHeight="15960" tabRatio="629" activeTab="0"/>
  </bookViews>
  <sheets>
    <sheet name="Accueil" sheetId="1" r:id="rId1"/>
    <sheet name="Etalonnage" sheetId="2" r:id="rId2"/>
    <sheet name="Marathon 6 ent." sheetId="3" r:id="rId3"/>
    <sheet name="Marathon 5 ent." sheetId="4" r:id="rId4"/>
    <sheet name="VMA" sheetId="5" r:id="rId5"/>
    <sheet name="Marathon 4 ent." sheetId="6" r:id="rId6"/>
    <sheet name="constantes" sheetId="7" r:id="rId7"/>
  </sheets>
  <externalReferences>
    <externalReference r:id="rId10"/>
  </externalReferences>
  <definedNames>
    <definedName name="_60__Endurance_facile">#REF!</definedName>
    <definedName name="_sem12">#REF!</definedName>
    <definedName name="_vo2">'Etalonnage'!$B$15</definedName>
    <definedName name="al_marathon">'Etalonnage'!$E$21</definedName>
    <definedName name="al_semi">'constantes'!$D$27</definedName>
    <definedName name="allure_vma">'Etalonnage'!$B$19</definedName>
    <definedName name="allure_vma_sec">'Etalonnage'!$B$21</definedName>
    <definedName name="C3.1">#REF!</definedName>
    <definedName name="C3.2">#REF!</definedName>
    <definedName name="cat">'Etalonnage'!$A$35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'constantes'!$B$30</definedName>
    <definedName name="dist_semi">'constantes'!$B$31</definedName>
    <definedName name="dist_vma">'Etalonnage'!$B$18</definedName>
    <definedName name="dist_vma_min">'constantes'!$B$29</definedName>
    <definedName name="endurance">'Etalonnage'!$E$19</definedName>
    <definedName name="facile">'constantes'!$D$28</definedName>
    <definedName name="fc_100">'constantes'!$D$24</definedName>
    <definedName name="fc_1200">'constantes'!$B$16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800">'constantes'!$B$15</definedName>
    <definedName name="fc_ana">'Etalonnage'!$C$22</definedName>
    <definedName name="fc_competition">'constantes'!$D$16</definedName>
    <definedName name="fc_endur">'Etalonnage'!$C$23</definedName>
    <definedName name="fc_marathon">'Etalonnage'!$C$27</definedName>
    <definedName name="fc_max">'Etalonnage'!$C$17</definedName>
    <definedName name="fc_repos">'Etalonnage'!$C$16</definedName>
    <definedName name="fc_semi">'constantes'!$B$17</definedName>
    <definedName name="fc_vma">'constantes'!$D$17</definedName>
    <definedName name="fc_x">'constantes'!$D$23</definedName>
    <definedName name="ind_vma">'constantes'!$B$28</definedName>
    <definedName name="k_10">'constantes'!$B$27</definedName>
    <definedName name="k_aero">'constantes'!$B$22</definedName>
    <definedName name="k_anaero">'constantes'!$B$21</definedName>
    <definedName name="K_facile">'constantes'!$B$33</definedName>
    <definedName name="k_marahch">'constantes'!$F$21</definedName>
    <definedName name="k_marat">'constantes'!$B$25</definedName>
    <definedName name="k_maratch">'constantes'!$F$21</definedName>
    <definedName name="k_recup">'constantes'!$B$24</definedName>
    <definedName name="k_semi">'constantes'!$B$26</definedName>
    <definedName name="K_test">'constantes'!$B$32</definedName>
    <definedName name="k_vma">'constantes'!$B$20</definedName>
    <definedName name="k_vmach">'constantes'!$F$20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'constantes'!$F$15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'Etalonnage'!$B$24</definedName>
    <definedName name="serie_100" localSheetId="5">'Marathon 4 ent.'!$G$7</definedName>
    <definedName name="serie_100" localSheetId="2">'Marathon 6 ent.'!$G$7</definedName>
    <definedName name="serie_100">'Marathon 5 ent.'!$G$7</definedName>
    <definedName name="seuil">'constantes'!$D$29</definedName>
    <definedName name="seuil_aero">'Etalonnage'!$B$23</definedName>
    <definedName name="seuil_ana">'Etalonnage'!$B$22</definedName>
    <definedName name="seuil_ana_obj">'Etalonnage'!$E$18</definedName>
    <definedName name="T_100">'constantes'!$D$10</definedName>
    <definedName name="T_1000">'constantes'!$D$15</definedName>
    <definedName name="T_10k">'constantes'!$D$25</definedName>
    <definedName name="t_200">'constantes'!$D$11</definedName>
    <definedName name="T_300">'constantes'!$D$12</definedName>
    <definedName name="t_3000">'constantes'!$D$19</definedName>
    <definedName name="T_400">'constantes'!$D$13</definedName>
    <definedName name="t_4000">'constantes'!$D$20</definedName>
    <definedName name="T_500">'constantes'!$D$14</definedName>
    <definedName name="T_semi">'constantes'!$D$26</definedName>
    <definedName name="t_th_marathon">'Etalonnage'!$B$28</definedName>
    <definedName name="t_th_semi">'Etalonnage'!$B$26</definedName>
    <definedName name="t_x">'constantes'!$D$21</definedName>
    <definedName name="TABLE" localSheetId="4">'VMA'!$G$26:$I$26</definedName>
    <definedName name="TABLE">#REF!</definedName>
    <definedName name="TABLE_2" localSheetId="4">'VMA'!$E$32:$F$32</definedName>
    <definedName name="TABLE_2">#REF!</definedName>
    <definedName name="TABLE_3" localSheetId="4">'VMA'!$G$32:$I$32</definedName>
    <definedName name="TABLE_3">#REF!</definedName>
    <definedName name="TABLE_4" localSheetId="4">'VMA'!$C$34:$D$34</definedName>
    <definedName name="TABLE_4">#REF!</definedName>
    <definedName name="TABLE_5" localSheetId="4">'VMA'!$A$23:$J$38</definedName>
    <definedName name="TABLE_5">#REF!</definedName>
    <definedName name="theo_marathon">'Etalonnage'!$B$27</definedName>
    <definedName name="v_vma">'Etalonnage'!$E$15</definedName>
    <definedName name="v_vma_obj_kmh">'Etalonnage'!$E$16</definedName>
    <definedName name="vma_10" localSheetId="4">'[1]constantes'!#REF!</definedName>
    <definedName name="vma_10">'constantes'!#REF!</definedName>
    <definedName name="vma_100" localSheetId="4">'[1]constantes'!#REF!</definedName>
    <definedName name="vma_100">'constantes'!#REF!</definedName>
    <definedName name="vma_1000_obj">'Etalonnage'!$E$14</definedName>
    <definedName name="vma_200" localSheetId="4">'[1]constantes'!#REF!</definedName>
    <definedName name="vma_200">'constantes'!#REF!</definedName>
    <definedName name="VMA_kmh">'Etalonnage'!$B$20</definedName>
    <definedName name="vma_obj_km">'Etalonnage'!$E$13</definedName>
    <definedName name="z_travail">'constantes'!$B$18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Le cat test est couru sur 2000m pour les bons coureurs, (maxi d'environ 12 mn); sur 1500m pour les débutants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un CAT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Le CAT Test est 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CAT Test est un test sur piste réalisé au maximum des possibilités, à allure constante. Le dernier demi-tour sera couru "à fond", ce qui permettra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E14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test, 220 - l'age si vous ne la connaissez pas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0"/>
          </rPr>
          <t>Pour réaliser cet objectif, il faut réaliser au minimum au CAT test: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</text>
    </comment>
    <comment ref="E17" authorId="1">
      <text>
        <r>
          <rPr>
            <b/>
            <sz val="8"/>
            <rFont val="Tahoma"/>
            <family val="0"/>
          </rPr>
          <t>Saisissez le temps marathon souhaité en haut du tableau !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VMA:
Vitesse Maximum Aerobie.
</t>
        </r>
        <r>
          <rPr>
            <sz val="8"/>
            <rFont val="Tahoma"/>
            <family val="0"/>
          </rPr>
          <t>Vos allures de courses sont calculées en % de cette vitesse (voir Feuille "VMA")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0"/>
          </rPr>
          <t xml:space="preserve">C'est la valeur que vous avez trouvé cellule B14  Feuille Etalonnage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<sst xmlns="http://schemas.openxmlformats.org/spreadsheetml/2006/main" count="768" uniqueCount="330">
  <si>
    <t>Ne modifiez ces constantes que si vous êtes sûr de ce que vous faites!!</t>
  </si>
  <si>
    <t>Footing lent à moyen</t>
  </si>
  <si>
    <t>Footing rapide</t>
  </si>
  <si>
    <t>Allures intervalles</t>
  </si>
  <si>
    <t>Fractionné</t>
  </si>
  <si>
    <t>zone verte</t>
  </si>
  <si>
    <t>zone jaune</t>
  </si>
  <si>
    <t>zone orange</t>
  </si>
  <si>
    <t>Zone rouge</t>
  </si>
  <si>
    <t>anaérobie</t>
  </si>
  <si>
    <t>Zones d'entraînements : vitesses, temps, fréquences cardiaques</t>
  </si>
  <si>
    <t>et procédés d'entraînements associés</t>
  </si>
  <si>
    <t xml:space="preserve">Saisissez votre fréquence cardiaque maxi: </t>
  </si>
  <si>
    <t xml:space="preserve">Saisissez votre fréquence cardiaque au repos (debout): </t>
  </si>
  <si>
    <t>indice VO2 pour l'objectif:</t>
  </si>
  <si>
    <t>aérobie</t>
  </si>
  <si>
    <t>Filière :</t>
  </si>
  <si>
    <t>Votre VMA (m/sec):</t>
  </si>
  <si>
    <t>Les cases à saisir sont en jaune</t>
  </si>
  <si>
    <t>Vous profiterez de ce test pour mesurer votre fréquence cardiaque maxi (en fin de test)</t>
  </si>
  <si>
    <t xml:space="preserve">Le plan vous propose alors 3 possibilités: </t>
  </si>
  <si>
    <t>60' ENDURANCE</t>
  </si>
  <si>
    <t>45' ENDURANCE</t>
  </si>
  <si>
    <t>Entrez votre</t>
  </si>
  <si>
    <t>VMA</t>
  </si>
  <si>
    <t>km/h</t>
  </si>
  <si>
    <t>TEMPS DE PASSAGE AUX :</t>
  </si>
  <si>
    <t>% souhaités</t>
  </si>
  <si>
    <t>distances (en mètres) choisies par l'entraîneur</t>
  </si>
  <si>
    <t>de la VMA</t>
  </si>
  <si>
    <t>Pour une autre distance :</t>
  </si>
  <si>
    <t>% choisi :</t>
  </si>
  <si>
    <t>distance :</t>
  </si>
  <si>
    <t>mètres</t>
  </si>
  <si>
    <t>Temps :</t>
  </si>
  <si>
    <t>footing</t>
  </si>
  <si>
    <t>footing moyen</t>
  </si>
  <si>
    <t>footing rapide</t>
  </si>
  <si>
    <t>Intervalles</t>
  </si>
  <si>
    <t>lent</t>
  </si>
  <si>
    <t>(seuil)</t>
  </si>
  <si>
    <t>vitesses (%VMA)</t>
  </si>
  <si>
    <t>.50%</t>
  </si>
  <si>
    <t>80-85%</t>
  </si>
  <si>
    <t>110% et +</t>
  </si>
  <si>
    <t>ou VO2</t>
  </si>
  <si>
    <t>seuil</t>
  </si>
  <si>
    <t>Fréquence cardiaque % max</t>
  </si>
  <si>
    <t>maximale</t>
  </si>
  <si>
    <t>temps maximal</t>
  </si>
  <si>
    <t>.x heures</t>
  </si>
  <si>
    <t>+ 3 heures</t>
  </si>
  <si>
    <t>45'-1h</t>
  </si>
  <si>
    <t>6-7'</t>
  </si>
  <si>
    <t>5' et -</t>
  </si>
  <si>
    <t>de course</t>
  </si>
  <si>
    <t>distances</t>
  </si>
  <si>
    <t>.raids</t>
  </si>
  <si>
    <t>marathon</t>
  </si>
  <si>
    <t>1500m</t>
  </si>
  <si>
    <t>semi</t>
  </si>
  <si>
    <t>heure</t>
  </si>
  <si>
    <t>10 km</t>
  </si>
  <si>
    <t>2-3 km</t>
  </si>
  <si>
    <t> </t>
  </si>
  <si>
    <t>exemple vitesse</t>
  </si>
  <si>
    <t>.8-9 km/h</t>
  </si>
  <si>
    <t>12-13 km/h</t>
  </si>
  <si>
    <t>15 km/h</t>
  </si>
  <si>
    <t>16 km/h</t>
  </si>
  <si>
    <t>et temps</t>
  </si>
  <si>
    <t>3h45'/42km</t>
  </si>
  <si>
    <t>45'/10km</t>
  </si>
  <si>
    <t>6'/1500m</t>
  </si>
  <si>
    <t>zones d'entraînement</t>
  </si>
  <si>
    <t>FC</t>
  </si>
  <si>
    <t xml:space="preserve">REPOS </t>
  </si>
  <si>
    <t>Paramètres correspondants à l'objectif choisi:</t>
  </si>
  <si>
    <t>VMA sur 1000m (hh:mn:sec):</t>
  </si>
  <si>
    <t>Vitesse VMA  (m/sec):</t>
  </si>
  <si>
    <t>Le Marathon devra être couru à (mn:sec) / Kms:</t>
  </si>
  <si>
    <t>Programme de planification d'entrainement.</t>
  </si>
  <si>
    <t>45' END+EDUCATIFS</t>
  </si>
  <si>
    <t>1H15' ENDURANCE</t>
  </si>
  <si>
    <t>Cycle 1</t>
  </si>
  <si>
    <t>SEMI MARATHON</t>
  </si>
  <si>
    <t>Cycle 2</t>
  </si>
  <si>
    <t>MARATHON</t>
  </si>
  <si>
    <t>Votre temps théorique sur marathon: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</si>
  <si>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</si>
  <si>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</si>
  <si>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</si>
  <si>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</si>
  <si>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</si>
  <si>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</si>
  <si>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</si>
  <si>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</si>
  <si>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Saisissez le temps réalisé au CAT Test (hh:mm:ss) :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</si>
  <si>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</si>
  <si>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</si>
  <si>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</si>
  <si>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</si>
  <si>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</si>
  <si>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</si>
  <si>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</si>
  <si>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</si>
  <si>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</si>
  <si>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</si>
  <si>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</si>
  <si>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</si>
  <si>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</si>
  <si>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</si>
  <si>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</si>
  <si>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</si>
  <si>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</si>
  <si>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</si>
  <si>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</si>
  <si>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</si>
  <si>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</si>
  <si>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</si>
  <si>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</si>
  <si>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</si>
  <si>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Sur quelle distance voulez-vous connaître votre allure VMA (metres)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</si>
  <si>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</si>
  <si>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</si>
  <si>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</si>
  <si>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</si>
  <si>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</si>
  <si>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</si>
  <si>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</si>
  <si>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</si>
  <si>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Seuil anaérobie:</t>
  </si>
  <si>
    <t>Seuil objectif anaérobie (mn:sec):</t>
  </si>
  <si>
    <t>k_marat</t>
  </si>
  <si>
    <t>fc_100</t>
  </si>
  <si>
    <t>Seuil aérobie:</t>
  </si>
  <si>
    <t>Seuil objectif aérobie (mn:sec):</t>
  </si>
  <si>
    <t>k_semi</t>
  </si>
  <si>
    <t>T_10k</t>
  </si>
  <si>
    <t>Allure de récupération:</t>
  </si>
  <si>
    <t>Allure de récupération (objectif en mn:sec):</t>
  </si>
  <si>
    <t>k_10</t>
  </si>
  <si>
    <t>T_semi</t>
  </si>
  <si>
    <t>Allure théorique semi-marathon:</t>
  </si>
  <si>
    <t>ind_vma</t>
  </si>
  <si>
    <t>al_semi</t>
  </si>
  <si>
    <t>Votre temps théorique sur semi-marathon:</t>
  </si>
  <si>
    <t>Votre objectif sur marathon (hh:mm:ss)</t>
  </si>
  <si>
    <t>dist_vma_min</t>
  </si>
  <si>
    <t>facile</t>
  </si>
  <si>
    <t>Allure théorique marathon:</t>
  </si>
  <si>
    <t>date du marathon :</t>
  </si>
  <si>
    <t>dist_marathon</t>
  </si>
  <si>
    <t>Ce programme est destiné à vous aider à déterminer les rythmes et le planing pour préparer un marathon ou un 10 Kms</t>
  </si>
  <si>
    <t>Recommandations</t>
  </si>
  <si>
    <t>Entrainement à allure VMA</t>
  </si>
  <si>
    <t>séance d'intervalles</t>
  </si>
  <si>
    <t>séance VMA</t>
  </si>
  <si>
    <t>Jaune foncé</t>
  </si>
  <si>
    <t>Bleu foncé</t>
  </si>
  <si>
    <t>50' ENDURANCE</t>
  </si>
  <si>
    <t>30' END+VMA 2x(6x30"/30")/4'récup</t>
  </si>
  <si>
    <t>30' END+VMA 2x(8x30"/30")/4'récup</t>
  </si>
  <si>
    <t>Sortie longue 1H30' à 1H40'</t>
  </si>
  <si>
    <t>30' END+VMA 2x(5x90"/60")/4'récup</t>
  </si>
  <si>
    <t>Sortie longue 1H50' à 2H10'</t>
  </si>
  <si>
    <t>25' END+VMA 3x(9x20"/20")/4'récup</t>
  </si>
  <si>
    <t>Sortie longue 2H00' à 2H20'</t>
  </si>
  <si>
    <t>30' END+VMA 2x(7x50"/50")/4'récup</t>
  </si>
  <si>
    <t>40' ENDURANCE</t>
  </si>
  <si>
    <t>30' END+VMA 2x(9x30"/30")/4'récup</t>
  </si>
  <si>
    <t>Sortie longue 1H30' à 1H50'</t>
  </si>
  <si>
    <t>30' END+VMA 2x(5x60"/60")/4'récup</t>
  </si>
  <si>
    <t>Compétition 10KM</t>
  </si>
  <si>
    <t>70' ENDURANCE</t>
  </si>
  <si>
    <t>Sortie longue 2H05' à 2H30'</t>
  </si>
  <si>
    <t>30' END+VMA 2x(9x20"/20")/4'récup</t>
  </si>
  <si>
    <t xml:space="preserve">Sortie longue 1H30' </t>
  </si>
  <si>
    <t>1H15 END;DONT 3x3KM ALLURE MARATHON</t>
  </si>
  <si>
    <t>1H20 END;DONT 3x4KM ALLURE MARATHON</t>
  </si>
  <si>
    <t>1H00 END;DONT 3x1KM ALLURE MARATHON</t>
  </si>
  <si>
    <t>1H20 END;DONT 3x5KM ALLURE MARATHON</t>
  </si>
  <si>
    <t>TPS</t>
  </si>
  <si>
    <t>fc_300</t>
  </si>
  <si>
    <t>fc_800</t>
  </si>
  <si>
    <t>fc_1200</t>
  </si>
  <si>
    <t xml:space="preserve">Si vous vous sentez fatigué, levez le pied ou sautez une séance. </t>
  </si>
  <si>
    <t>Une préparation marathon est toujours difficile et traumatisante pour le corps.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</si>
  <si>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</si>
  <si>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</si>
  <si>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</si>
  <si>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</si>
  <si>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</si>
  <si>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</si>
  <si>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</si>
  <si>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</si>
  <si>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</si>
  <si>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</si>
  <si>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</si>
  <si>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</si>
  <si>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Séance d'endurance :</t>
  </si>
  <si>
    <t xml:space="preserve">N'hésitez pas à parfois remplacer la séance par une sortie à vélo si vous sentez qu'il faut vous </t>
  </si>
  <si>
    <t>protéger des chocs dus à la course.</t>
  </si>
  <si>
    <t xml:space="preserve">De même, il n'est pas interdit de placer une à deux fois 2 minutes de rythme marathon en fin </t>
  </si>
  <si>
    <t>de séance si l'on se sent bien , cela rendra cette vitesse de plus en plus familière.</t>
  </si>
  <si>
    <r>
      <t xml:space="preserve">Séances </t>
    </r>
    <r>
      <rPr>
        <b/>
        <u val="single"/>
        <sz val="10"/>
        <color indexed="9"/>
        <rFont val="Verdana"/>
        <family val="2"/>
      </rPr>
      <t>:</t>
    </r>
    <r>
      <rPr>
        <sz val="10"/>
        <rFont val="Verdana"/>
        <family val="2"/>
      </rPr>
      <t xml:space="preserve"> le type d' allure visé  détermine la couleur de la case ou se situe la séance</t>
    </r>
  </si>
  <si>
    <t>Avant tout il est nécessaire de se connaître un peu:</t>
  </si>
  <si>
    <t>Il est donc nécessaire de commencer par un test de terrain, pratiqué sur piste de préférence.</t>
  </si>
  <si>
    <t>les 200 derniers mètres "à fond"</t>
  </si>
  <si>
    <t>Comme vous pouvez souhaiter préparer un marathon pour un résultat différent de ce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</si>
  <si>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</si>
  <si>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</si>
  <si>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</si>
  <si>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</si>
  <si>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t>Un plan sur 6 séances hebdomadaires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</si>
  <si>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 de ne pas s'écarter de plus de quelques minutes du temps calculé  </t>
    </r>
  </si>
  <si>
    <r>
      <t xml:space="preserve">Votre </t>
    </r>
    <r>
      <rPr>
        <b/>
        <sz val="8"/>
        <color indexed="8"/>
        <rFont val="Arial"/>
        <family val="2"/>
      </rPr>
      <t>VMA</t>
    </r>
    <r>
      <rPr>
        <sz val="8"/>
        <color indexed="8"/>
        <rFont val="Arial"/>
        <family val="2"/>
      </rPr>
      <t xml:space="preserve"> (Km/heure):</t>
    </r>
  </si>
  <si>
    <t>25'ECH+5x1200M RECUPERATION 3'</t>
  </si>
  <si>
    <t>45'END dont 3X : 80M Accelération / Récupération 80M</t>
  </si>
  <si>
    <t>25'ECH+2x :6X200M RECUPERATION 1'45" / Série5'</t>
  </si>
  <si>
    <t>25'ECH+6x1000M RECUPERATION 3'</t>
  </si>
  <si>
    <t>Sortie longue 1H40' à 1H50'</t>
  </si>
  <si>
    <t>MER.</t>
  </si>
  <si>
    <t>VEN.</t>
  </si>
  <si>
    <t>SAM.</t>
  </si>
  <si>
    <t>DIM.</t>
  </si>
  <si>
    <t>JEU.</t>
  </si>
  <si>
    <t>MAR.</t>
  </si>
  <si>
    <t>LUN.</t>
  </si>
  <si>
    <t>25'ECH + 2x : 6X200M RECUP 1'45"</t>
  </si>
  <si>
    <t>25'ECH+10X300M RECUP 60"</t>
  </si>
  <si>
    <t>25'ECH+10X200M RECUP 2'</t>
  </si>
  <si>
    <t>30' ECH + 4 x 2kM RECUP 3'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</si>
  <si>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</si>
  <si>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</si>
  <si>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L'utilisation du programme commence par le feuillet </t>
    </r>
    <r>
      <rPr>
        <b/>
        <sz val="10"/>
        <color indexed="20"/>
        <rFont val="Arial"/>
        <family val="2"/>
      </rPr>
      <t>Etalonnage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</si>
  <si>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</si>
  <si>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r>
      <t xml:space="preserve">Il s'agit de courir </t>
    </r>
    <r>
      <rPr>
        <b/>
        <u val="single"/>
        <sz val="8"/>
        <color indexed="62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color indexed="62"/>
        <rFont val="Verdana"/>
        <family val="2"/>
      </rPr>
      <t>à allure constante</t>
    </r>
    <r>
      <rPr>
        <sz val="8"/>
        <color indexed="62"/>
        <rFont val="Verdana"/>
        <family val="2"/>
      </rPr>
      <t>,</t>
    </r>
    <r>
      <rPr>
        <sz val="8"/>
        <rFont val="Verdana"/>
        <family val="2"/>
      </rPr>
      <t xml:space="preserve"> en réalisant </t>
    </r>
  </si>
  <si>
    <r>
      <t xml:space="preserve">Ces chiffres vous indiquent votre </t>
    </r>
    <r>
      <rPr>
        <b/>
        <u val="single"/>
        <sz val="8"/>
        <color indexed="62"/>
        <rFont val="Verdana"/>
        <family val="2"/>
      </rPr>
      <t>niveau actuel</t>
    </r>
    <r>
      <rPr>
        <sz val="8"/>
        <color indexed="62"/>
        <rFont val="Verdana"/>
        <family val="2"/>
      </rPr>
      <t>.</t>
    </r>
  </si>
  <si>
    <r>
      <t xml:space="preserve">Les plans sont structurés sur </t>
    </r>
    <r>
      <rPr>
        <b/>
        <sz val="9"/>
        <color indexed="62"/>
        <rFont val="Verdana"/>
        <family val="2"/>
      </rPr>
      <t>3 périodes de 4 semaines</t>
    </r>
    <r>
      <rPr>
        <b/>
        <sz val="9"/>
        <rFont val="Verdana"/>
        <family val="2"/>
      </rPr>
      <t xml:space="preserve"> :</t>
    </r>
  </si>
  <si>
    <t>LEGENDE</t>
  </si>
  <si>
    <t>30' END+VMA 2x(7x30"/30")/4'récup</t>
  </si>
  <si>
    <t>25'ECH + 7X800M RECUP 2'30"</t>
  </si>
  <si>
    <t>1H20' ENDURANCE</t>
  </si>
  <si>
    <t>25'ECH + 10X500M RECUP 2'</t>
  </si>
  <si>
    <t>30' END+VMA 2x(6x20"/40")/4'récup</t>
  </si>
  <si>
    <t>Sortie longue 1H10' à 1H20'</t>
  </si>
  <si>
    <t>Sortie longue 1H25' à 1H30'</t>
  </si>
  <si>
    <r>
      <t>30'ECH+5</t>
    </r>
    <r>
      <rPr>
        <sz val="8.75"/>
        <color indexed="8"/>
        <rFont val="Arial Narrow"/>
        <family val="2"/>
      </rPr>
      <t xml:space="preserve">X800M RECUPERATION 2' </t>
    </r>
  </si>
  <si>
    <r>
      <t>30'ECH+6X600M RECUPERATION 2'</t>
    </r>
  </si>
  <si>
    <t>Sortie longue 1H40'</t>
  </si>
  <si>
    <t>30' END+VMA 2x(6x50"/50")/4'récup</t>
  </si>
  <si>
    <t>Sortie longue 1H40' à 1H45'</t>
  </si>
  <si>
    <t>30'ECH+4x900M RECUPERATION 2'</t>
  </si>
  <si>
    <t>30'ECH+10X150M RECUPERATION 35"</t>
  </si>
  <si>
    <t>Sortie longue 1H50' à 2H00'</t>
  </si>
  <si>
    <t>30' END+VMA 2x(5x50"/50")/4'récup</t>
  </si>
  <si>
    <t>30' END+VMA 8x90"/60"</t>
  </si>
  <si>
    <t>Sortie longue 2H10' à 2H20'</t>
  </si>
  <si>
    <t>30' END+VMA 3x(9x15"/15")/4'récup</t>
  </si>
  <si>
    <t xml:space="preserve">Sortie longue 1H20' </t>
  </si>
  <si>
    <t>35' ENDURANCE</t>
  </si>
  <si>
    <t>45'END dont 3X : 80M   Recuperation 80 M</t>
  </si>
  <si>
    <r>
      <t>25'ECH+6x1000M RECUPERATION 3'</t>
    </r>
  </si>
  <si>
    <t>1H00 END;DONT 3x1KM ALLURE MARATHON/ Récup 2'</t>
  </si>
  <si>
    <t>1H15 END;DONT 3x12' ALLURE MARATHON/ Récup 3'</t>
  </si>
  <si>
    <t>1H20 END;DONT 2x16' ALLURE MARATHON/ Récup 4'</t>
  </si>
  <si>
    <t>1H10 END;DONT 3x8' ALLURE MARATHON/ Récup 3'</t>
  </si>
  <si>
    <r>
      <t>25'ECH+2x :5X200M RECUPERATION 1'45" / Série4'</t>
    </r>
  </si>
  <si>
    <t>1H05 END;DONT 5x4' ALLURE MARATHON/ Récup 2'</t>
  </si>
  <si>
    <t>1H10 END;DONT 3x10' ALLURE MARATHON/ Récup 3'</t>
  </si>
  <si>
    <r>
      <t>45'END dont 3X : 80M Accelération / Récupération 80M</t>
    </r>
  </si>
  <si>
    <t>Sortie longue 1H10' à 1H15'</t>
  </si>
  <si>
    <r>
      <t xml:space="preserve">30'ECH+7X400M RECUPERATION </t>
    </r>
    <r>
      <rPr>
        <sz val="8"/>
        <rFont val="Arial Narrow"/>
        <family val="2"/>
      </rPr>
      <t>1' 30"</t>
    </r>
  </si>
  <si>
    <t>30'ECH+8X600M RECUP 1' 30"</t>
  </si>
  <si>
    <r>
      <t>30'ECH+10X400M R</t>
    </r>
    <r>
      <rPr>
        <sz val="8"/>
        <rFont val="Arial Narrow"/>
        <family val="2"/>
      </rPr>
      <t>ECUP 1'</t>
    </r>
  </si>
  <si>
    <t>30' END+VMA 2x(6x30"/30")4'récup</t>
  </si>
  <si>
    <t>Sortie longue 1H15' à 1H25'</t>
  </si>
  <si>
    <r>
      <t>30'ECH+7X700M RECUPERATION 2' 30"</t>
    </r>
  </si>
  <si>
    <t xml:space="preserve">Sortie longue 1H25' </t>
  </si>
  <si>
    <t>30'ECH+6x900M RECUPERATION 3'</t>
  </si>
  <si>
    <t>Sortie longue 1H35' à 1H40'</t>
  </si>
  <si>
    <t>1H05 END;DONT 4x4' ALLURE MARATHON/ Récup 2'</t>
  </si>
  <si>
    <t>1H10 END;DONT 3x7' ALLURE MARATHON/ Récup 3'</t>
  </si>
  <si>
    <r>
      <t xml:space="preserve">45'END dont 3X : 80M Accelération / Récupération </t>
    </r>
    <r>
      <rPr>
        <sz val="8.75"/>
        <color indexed="8"/>
        <rFont val="Arial Narrow"/>
        <family val="2"/>
      </rPr>
      <t>80M</t>
    </r>
  </si>
  <si>
    <t>1H15 END;DONT 2x15' ALLURE MARATHON/ Récup 4'</t>
  </si>
  <si>
    <t xml:space="preserve">Sortie longue 1H35' </t>
  </si>
  <si>
    <t>1H10 END;DONT 6x5' ALLURE MARATHON/ Récup 2'</t>
  </si>
  <si>
    <t>30' ENDURANCE</t>
  </si>
  <si>
    <r>
      <t xml:space="preserve">40'END dont 3X : 80M Accelération / Récupération </t>
    </r>
    <r>
      <rPr>
        <sz val="8.75"/>
        <color indexed="8"/>
        <rFont val="Arial Narrow"/>
        <family val="2"/>
      </rPr>
      <t>80M</t>
    </r>
  </si>
  <si>
    <t>COULEUR DE LA CASE</t>
  </si>
  <si>
    <t>TYPE D' ENTRAÎNEMENT</t>
  </si>
  <si>
    <t>INFORMATIONS ANNEXES</t>
  </si>
  <si>
    <t>Temps final + FC de base</t>
  </si>
  <si>
    <t xml:space="preserve">Vitesse au Km + FC de base </t>
  </si>
  <si>
    <t xml:space="preserve">Temps + FC des exercices </t>
  </si>
  <si>
    <t>Distance + FC des exercices</t>
  </si>
  <si>
    <r>
      <t>30'ECH+7X800M R</t>
    </r>
    <r>
      <rPr>
        <sz val="8"/>
        <rFont val="Arial Narrow"/>
        <family val="2"/>
      </rPr>
      <t xml:space="preserve">ECUP 2' </t>
    </r>
  </si>
  <si>
    <r>
      <t>30'ECH+6X900M R</t>
    </r>
    <r>
      <rPr>
        <sz val="8"/>
        <rFont val="Arial Narrow"/>
        <family val="2"/>
      </rPr>
      <t xml:space="preserve">ECUP 3' </t>
    </r>
  </si>
  <si>
    <t>25'ECH+2x :4X400M RECUPERATION 2'50" / Série5'</t>
  </si>
  <si>
    <t>30'ECH+7X400M RECUPERATION 1' 30"</t>
  </si>
  <si>
    <t>On y a intercalé des compétitions (facultatives) qui sont à réaliser sans soucis de performances maximum</t>
  </si>
  <si>
    <t>25'ECH+8X300M RECUPERATION 60"</t>
  </si>
  <si>
    <r>
      <t xml:space="preserve">Vos objectifs : </t>
    </r>
    <r>
      <rPr>
        <b/>
        <sz val="10"/>
        <color indexed="20"/>
        <rFont val="Arial"/>
        <family val="2"/>
      </rPr>
      <t>(soyez réaliste!)</t>
    </r>
  </si>
  <si>
    <t>fc_competition</t>
  </si>
  <si>
    <t>k_vmach</t>
  </si>
  <si>
    <t>k_maratch</t>
  </si>
  <si>
    <r>
      <t>30'ECH+8X200M RECUPERATION 1'30"</t>
    </r>
  </si>
  <si>
    <r>
      <t>30'ECH+7X400M RECUPERATION 2'30"</t>
    </r>
  </si>
  <si>
    <r>
      <t>30'ECH+6X900M RECUPERATION 3'00"</t>
    </r>
  </si>
  <si>
    <t>fc_vma</t>
  </si>
  <si>
    <t>rapport</t>
  </si>
  <si>
    <t>Intensité VMA</t>
  </si>
  <si>
    <t>Intensité FC</t>
  </si>
  <si>
    <t>compétition ou assimilé</t>
  </si>
  <si>
    <t>&gt; 100%</t>
  </si>
  <si>
    <t>Rouge clair</t>
  </si>
  <si>
    <t xml:space="preserve">  = ou &gt;110%</t>
  </si>
  <si>
    <t>Bleu clair</t>
  </si>
  <si>
    <t xml:space="preserve">séance spécifique à vitesse de l'OBJECTIF </t>
  </si>
  <si>
    <t>Vitesse/km + FC de l'exercice - End</t>
  </si>
  <si>
    <t>Vert foncé</t>
  </si>
  <si>
    <t>séance d'endurance active</t>
  </si>
  <si>
    <t>Vert clair</t>
  </si>
  <si>
    <t>séance d'endurance de base</t>
  </si>
  <si>
    <r>
      <t>Ce test se déroule sur 2</t>
    </r>
    <r>
      <rPr>
        <b/>
        <sz val="8"/>
        <color indexed="62"/>
        <rFont val="Verdana"/>
        <family val="2"/>
      </rPr>
      <t>000m</t>
    </r>
    <r>
      <rPr>
        <sz val="8"/>
        <rFont val="Verdana"/>
        <family val="2"/>
      </rPr>
      <t xml:space="preserve"> pour les bons coureurs et sur </t>
    </r>
    <r>
      <rPr>
        <b/>
        <sz val="8"/>
        <color indexed="62"/>
        <rFont val="Verdana"/>
        <family val="2"/>
      </rPr>
      <t>1500m pour les débutants.</t>
    </r>
  </si>
  <si>
    <r>
      <t xml:space="preserve">Le chiffre que vous obtiendrez est à reporter case </t>
    </r>
    <r>
      <rPr>
        <b/>
        <u val="single"/>
        <sz val="8"/>
        <color indexed="62"/>
        <rFont val="Verdana"/>
        <family val="2"/>
      </rPr>
      <t>B10</t>
    </r>
    <r>
      <rPr>
        <b/>
        <u val="single"/>
        <sz val="8"/>
        <rFont val="Verdana"/>
        <family val="2"/>
      </rPr>
      <t>.</t>
    </r>
  </si>
  <si>
    <r>
      <t xml:space="preserve">N'oubliez pas d'indiquer en case B9 si votre test est sur </t>
    </r>
    <r>
      <rPr>
        <b/>
        <sz val="8"/>
        <color indexed="62"/>
        <rFont val="Verdana"/>
        <family val="2"/>
      </rPr>
      <t>1500m</t>
    </r>
    <r>
      <rPr>
        <sz val="8"/>
        <rFont val="Verdana"/>
        <family val="2"/>
      </rPr>
      <t xml:space="preserve"> ou 2</t>
    </r>
    <r>
      <rPr>
        <b/>
        <sz val="8"/>
        <color indexed="62"/>
        <rFont val="Verdana"/>
        <family val="2"/>
      </rPr>
      <t>000m</t>
    </r>
    <r>
      <rPr>
        <sz val="8"/>
        <rFont val="Verdana"/>
        <family val="2"/>
      </rPr>
      <t>!</t>
    </r>
  </si>
  <si>
    <r>
      <t xml:space="preserve">Reportez le résultat case </t>
    </r>
    <r>
      <rPr>
        <b/>
        <u val="single"/>
        <sz val="8"/>
        <color indexed="62"/>
        <rFont val="Verdana"/>
        <family val="2"/>
      </rPr>
      <t>C17</t>
    </r>
    <r>
      <rPr>
        <u val="single"/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</si>
  <si>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E9.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</si>
</sst>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-* #,##0\ _F_-;\-* #,##0\ _F_-;_-* &quot;-&quot;\ _F_-;_-@_-"/>
    <numFmt numFmtId="197" formatCode="_-* #,##0.00\ _F_-;\-* #,##0.00\ _F_-;_-* &quot;-&quot;??\ _F_-;_-@_-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0.0"/>
    <numFmt numFmtId="201" formatCode="dd\.mm\.yy"/>
    <numFmt numFmtId="202" formatCode="0.000"/>
    <numFmt numFmtId="203" formatCode="mm:ss.00"/>
    <numFmt numFmtId="204" formatCode="[$-80C]dddd\ d\ mmmm\ yyyy"/>
    <numFmt numFmtId="205" formatCode="[$-F400]h:mm:ss\ AM/PM"/>
    <numFmt numFmtId="206" formatCode="hh:mm:ss;@"/>
    <numFmt numFmtId="207" formatCode="h:mm:ss;@"/>
    <numFmt numFmtId="208" formatCode="&quot;Vrai&quot;;&quot;Vrai&quot;;&quot;Faux&quot;"/>
    <numFmt numFmtId="209" formatCode="&quot;Actif&quot;;&quot;Actif&quot;;&quot;Inactif&quot;"/>
    <numFmt numFmtId="210" formatCode="0.000000000000"/>
  </numFmts>
  <fonts count="103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0"/>
    </font>
    <font>
      <b/>
      <u val="single"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0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9"/>
      <color indexed="62"/>
      <name val="Verdana"/>
      <family val="2"/>
    </font>
    <font>
      <b/>
      <u val="single"/>
      <sz val="10"/>
      <color indexed="62"/>
      <name val="Arial"/>
      <family val="0"/>
    </font>
    <font>
      <sz val="8.75"/>
      <color indexed="8"/>
      <name val="Arial Narrow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name val="Arial Narrow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b/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0" borderId="2" applyNumberFormat="0" applyFill="0" applyAlignment="0" applyProtection="0"/>
    <xf numFmtId="0" fontId="91" fillId="28" borderId="1" applyNumberFormat="0" applyAlignment="0" applyProtection="0"/>
    <xf numFmtId="0" fontId="9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4" fillId="27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3" fillId="34" borderId="11" xfId="0" applyFont="1" applyFill="1" applyBorder="1" applyAlignment="1">
      <alignment horizontal="right" wrapText="1"/>
    </xf>
    <xf numFmtId="1" fontId="34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2" xfId="0" applyFont="1" applyFill="1" applyBorder="1" applyAlignment="1" applyProtection="1">
      <alignment horizontal="right" wrapText="1"/>
      <protection/>
    </xf>
    <xf numFmtId="2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3" fillId="34" borderId="13" xfId="0" applyFont="1" applyFill="1" applyBorder="1" applyAlignment="1">
      <alignment horizontal="right" wrapText="1"/>
    </xf>
    <xf numFmtId="2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3" fillId="34" borderId="14" xfId="0" applyFont="1" applyFill="1" applyBorder="1" applyAlignment="1" applyProtection="1">
      <alignment horizontal="right" wrapText="1"/>
      <protection/>
    </xf>
    <xf numFmtId="201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>
      <alignment horizontal="right" vertical="center"/>
    </xf>
    <xf numFmtId="0" fontId="33" fillId="37" borderId="14" xfId="0" applyFont="1" applyFill="1" applyBorder="1" applyAlignment="1" applyProtection="1">
      <alignment horizontal="right" wrapText="1"/>
      <protection/>
    </xf>
    <xf numFmtId="1" fontId="3" fillId="36" borderId="13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 applyProtection="1">
      <alignment horizontal="center" vertical="center"/>
      <protection/>
    </xf>
    <xf numFmtId="2" fontId="3" fillId="36" borderId="13" xfId="0" applyNumberFormat="1" applyFont="1" applyFill="1" applyBorder="1" applyAlignment="1">
      <alignment horizontal="center" vertical="center"/>
    </xf>
    <xf numFmtId="2" fontId="35" fillId="36" borderId="13" xfId="0" applyNumberFormat="1" applyFont="1" applyFill="1" applyBorder="1" applyAlignment="1">
      <alignment horizontal="center" vertical="center"/>
    </xf>
    <xf numFmtId="1" fontId="3" fillId="36" borderId="13" xfId="0" applyNumberFormat="1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>
      <alignment horizontal="right" vertical="center"/>
    </xf>
    <xf numFmtId="200" fontId="3" fillId="36" borderId="15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 applyProtection="1">
      <alignment horizontal="center" vertical="center"/>
      <protection/>
    </xf>
    <xf numFmtId="200" fontId="3" fillId="36" borderId="13" xfId="0" applyNumberFormat="1" applyFont="1" applyFill="1" applyBorder="1" applyAlignment="1" applyProtection="1">
      <alignment horizontal="center" vertical="center"/>
      <protection/>
    </xf>
    <xf numFmtId="0" fontId="33" fillId="37" borderId="13" xfId="0" applyFont="1" applyFill="1" applyBorder="1" applyAlignment="1">
      <alignment horizontal="right" wrapText="1"/>
    </xf>
    <xf numFmtId="21" fontId="3" fillId="36" borderId="16" xfId="0" applyNumberFormat="1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1" fontId="3" fillId="36" borderId="13" xfId="0" applyNumberFormat="1" applyFont="1" applyFill="1" applyBorder="1" applyAlignment="1" applyProtection="1">
      <alignment horizontal="center" vertical="center"/>
      <protection/>
    </xf>
    <xf numFmtId="1" fontId="3" fillId="36" borderId="16" xfId="0" applyNumberFormat="1" applyFont="1" applyFill="1" applyBorder="1" applyAlignment="1">
      <alignment horizontal="center" vertical="center"/>
    </xf>
    <xf numFmtId="206" fontId="3" fillId="36" borderId="15" xfId="0" applyNumberFormat="1" applyFont="1" applyFill="1" applyBorder="1" applyAlignment="1" applyProtection="1">
      <alignment horizontal="center" vertical="center"/>
      <protection/>
    </xf>
    <xf numFmtId="49" fontId="3" fillId="36" borderId="16" xfId="0" applyNumberFormat="1" applyFont="1" applyFill="1" applyBorder="1" applyAlignment="1">
      <alignment horizontal="center" vertical="center"/>
    </xf>
    <xf numFmtId="21" fontId="3" fillId="38" borderId="16" xfId="0" applyNumberFormat="1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right" wrapText="1"/>
    </xf>
    <xf numFmtId="21" fontId="3" fillId="38" borderId="17" xfId="0" applyNumberFormat="1" applyFont="1" applyFill="1" applyBorder="1" applyAlignment="1">
      <alignment horizontal="center" vertical="center"/>
    </xf>
    <xf numFmtId="0" fontId="36" fillId="39" borderId="18" xfId="0" applyFont="1" applyFill="1" applyBorder="1" applyAlignment="1" applyProtection="1">
      <alignment horizontal="center" vertical="center" wrapText="1"/>
      <protection/>
    </xf>
    <xf numFmtId="1" fontId="36" fillId="39" borderId="19" xfId="0" applyNumberFormat="1" applyFont="1" applyFill="1" applyBorder="1" applyAlignment="1" applyProtection="1">
      <alignment horizontal="center" vertical="center" wrapText="1"/>
      <protection/>
    </xf>
    <xf numFmtId="206" fontId="36" fillId="39" borderId="18" xfId="0" applyNumberFormat="1" applyFont="1" applyFill="1" applyBorder="1" applyAlignment="1" applyProtection="1">
      <alignment horizontal="center" vertical="center" wrapText="1"/>
      <protection/>
    </xf>
    <xf numFmtId="205" fontId="36" fillId="39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20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06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0" borderId="21" xfId="0" applyFont="1" applyFill="1" applyBorder="1" applyAlignment="1">
      <alignment/>
    </xf>
    <xf numFmtId="0" fontId="5" fillId="41" borderId="22" xfId="0" applyFont="1" applyFill="1" applyBorder="1" applyAlignment="1">
      <alignment horizontal="center"/>
    </xf>
    <xf numFmtId="0" fontId="5" fillId="41" borderId="21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9" fillId="42" borderId="26" xfId="0" applyFont="1" applyFill="1" applyBorder="1" applyAlignment="1">
      <alignment/>
    </xf>
    <xf numFmtId="0" fontId="9" fillId="42" borderId="27" xfId="0" applyFont="1" applyFill="1" applyBorder="1" applyAlignment="1">
      <alignment/>
    </xf>
    <xf numFmtId="0" fontId="8" fillId="42" borderId="28" xfId="0" applyFont="1" applyFill="1" applyBorder="1" applyAlignment="1">
      <alignment horizontal="center"/>
    </xf>
    <xf numFmtId="0" fontId="5" fillId="35" borderId="29" xfId="0" applyFont="1" applyFill="1" applyBorder="1" applyAlignment="1" applyProtection="1">
      <alignment horizontal="center"/>
      <protection locked="0"/>
    </xf>
    <xf numFmtId="0" fontId="8" fillId="42" borderId="30" xfId="0" applyFont="1" applyFill="1" applyBorder="1" applyAlignment="1">
      <alignment horizontal="center"/>
    </xf>
    <xf numFmtId="0" fontId="5" fillId="35" borderId="31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>
      <alignment horizontal="center"/>
    </xf>
    <xf numFmtId="0" fontId="9" fillId="42" borderId="32" xfId="0" applyFont="1" applyFill="1" applyBorder="1" applyAlignment="1">
      <alignment/>
    </xf>
    <xf numFmtId="0" fontId="42" fillId="39" borderId="33" xfId="0" applyFont="1" applyFill="1" applyBorder="1" applyAlignment="1" applyProtection="1">
      <alignment horizontal="center" vertical="center" wrapText="1"/>
      <protection/>
    </xf>
    <xf numFmtId="0" fontId="42" fillId="39" borderId="18" xfId="0" applyFont="1" applyFill="1" applyBorder="1" applyAlignment="1" applyProtection="1">
      <alignment horizontal="center" vertical="center" wrapText="1"/>
      <protection/>
    </xf>
    <xf numFmtId="1" fontId="42" fillId="39" borderId="19" xfId="0" applyNumberFormat="1" applyFont="1" applyFill="1" applyBorder="1" applyAlignment="1" applyProtection="1">
      <alignment horizontal="center" vertical="center" wrapText="1"/>
      <protection/>
    </xf>
    <xf numFmtId="206" fontId="42" fillId="39" borderId="18" xfId="0" applyNumberFormat="1" applyFont="1" applyFill="1" applyBorder="1" applyAlignment="1" applyProtection="1">
      <alignment horizontal="center" vertical="center" wrapText="1"/>
      <protection/>
    </xf>
    <xf numFmtId="1" fontId="43" fillId="0" borderId="34" xfId="0" applyNumberFormat="1" applyFont="1" applyFill="1" applyBorder="1" applyAlignment="1">
      <alignment horizontal="center" vertical="center" wrapText="1"/>
    </xf>
    <xf numFmtId="0" fontId="43" fillId="43" borderId="35" xfId="0" applyFont="1" applyFill="1" applyBorder="1" applyAlignment="1">
      <alignment horizontal="center" vertical="center" wrapText="1"/>
    </xf>
    <xf numFmtId="1" fontId="43" fillId="0" borderId="36" xfId="0" applyNumberFormat="1" applyFont="1" applyFill="1" applyBorder="1" applyAlignment="1">
      <alignment horizontal="center" vertical="center" wrapText="1"/>
    </xf>
    <xf numFmtId="0" fontId="44" fillId="43" borderId="35" xfId="0" applyFont="1" applyFill="1" applyBorder="1" applyAlignment="1">
      <alignment horizontal="center" vertical="center" wrapText="1"/>
    </xf>
    <xf numFmtId="1" fontId="43" fillId="0" borderId="37" xfId="0" applyNumberFormat="1" applyFont="1" applyFill="1" applyBorder="1" applyAlignment="1">
      <alignment horizontal="center" vertical="center" wrapText="1"/>
    </xf>
    <xf numFmtId="45" fontId="43" fillId="0" borderId="38" xfId="0" applyNumberFormat="1" applyFont="1" applyFill="1" applyBorder="1" applyAlignment="1">
      <alignment horizontal="center" vertical="center" wrapText="1"/>
    </xf>
    <xf numFmtId="45" fontId="43" fillId="0" borderId="35" xfId="0" applyNumberFormat="1" applyFont="1" applyFill="1" applyBorder="1" applyAlignment="1">
      <alignment horizontal="center" vertical="center" wrapText="1"/>
    </xf>
    <xf numFmtId="45" fontId="3" fillId="36" borderId="13" xfId="0" applyNumberFormat="1" applyFont="1" applyFill="1" applyBorder="1" applyAlignment="1" applyProtection="1">
      <alignment horizontal="center" vertical="center"/>
      <protection/>
    </xf>
    <xf numFmtId="0" fontId="4" fillId="44" borderId="39" xfId="0" applyFont="1" applyFill="1" applyBorder="1" applyAlignment="1">
      <alignment horizontal="center" wrapText="1"/>
    </xf>
    <xf numFmtId="0" fontId="4" fillId="44" borderId="40" xfId="0" applyFont="1" applyFill="1" applyBorder="1" applyAlignment="1">
      <alignment horizontal="center" wrapText="1"/>
    </xf>
    <xf numFmtId="0" fontId="41" fillId="45" borderId="24" xfId="0" applyFont="1" applyFill="1" applyBorder="1" applyAlignment="1">
      <alignment horizontal="center" vertical="center" wrapText="1"/>
    </xf>
    <xf numFmtId="0" fontId="41" fillId="45" borderId="23" xfId="0" applyFont="1" applyFill="1" applyBorder="1" applyAlignment="1">
      <alignment horizontal="center" vertical="center" wrapText="1"/>
    </xf>
    <xf numFmtId="0" fontId="11" fillId="46" borderId="41" xfId="0" applyFont="1" applyFill="1" applyBorder="1" applyAlignment="1">
      <alignment horizontal="center" vertical="center"/>
    </xf>
    <xf numFmtId="0" fontId="16" fillId="47" borderId="42" xfId="0" applyFont="1" applyFill="1" applyBorder="1" applyAlignment="1">
      <alignment vertical="center" wrapText="1"/>
    </xf>
    <xf numFmtId="0" fontId="39" fillId="48" borderId="43" xfId="0" applyFont="1" applyFill="1" applyBorder="1" applyAlignment="1">
      <alignment horizontal="center"/>
    </xf>
    <xf numFmtId="0" fontId="39" fillId="48" borderId="20" xfId="0" applyFont="1" applyFill="1" applyBorder="1" applyAlignment="1">
      <alignment horizontal="center"/>
    </xf>
    <xf numFmtId="0" fontId="39" fillId="48" borderId="44" xfId="0" applyFont="1" applyFill="1" applyBorder="1" applyAlignment="1">
      <alignment horizontal="center"/>
    </xf>
    <xf numFmtId="0" fontId="46" fillId="42" borderId="32" xfId="0" applyFont="1" applyFill="1" applyBorder="1" applyAlignment="1">
      <alignment horizontal="right"/>
    </xf>
    <xf numFmtId="0" fontId="47" fillId="42" borderId="44" xfId="0" applyFont="1" applyFill="1" applyBorder="1" applyAlignment="1">
      <alignment horizontal="center"/>
    </xf>
    <xf numFmtId="0" fontId="43" fillId="48" borderId="45" xfId="0" applyFont="1" applyFill="1" applyBorder="1" applyAlignment="1">
      <alignment horizontal="center" vertical="center" wrapText="1"/>
    </xf>
    <xf numFmtId="0" fontId="43" fillId="48" borderId="46" xfId="0" applyFont="1" applyFill="1" applyBorder="1" applyAlignment="1">
      <alignment horizontal="center" vertical="center" wrapText="1"/>
    </xf>
    <xf numFmtId="0" fontId="43" fillId="48" borderId="47" xfId="0" applyFont="1" applyFill="1" applyBorder="1" applyAlignment="1">
      <alignment horizontal="center" vertical="center" wrapText="1"/>
    </xf>
    <xf numFmtId="0" fontId="0" fillId="49" borderId="32" xfId="0" applyFill="1" applyBorder="1" applyAlignment="1">
      <alignment/>
    </xf>
    <xf numFmtId="0" fontId="0" fillId="49" borderId="48" xfId="0" applyFill="1" applyBorder="1" applyAlignment="1">
      <alignment/>
    </xf>
    <xf numFmtId="1" fontId="0" fillId="49" borderId="49" xfId="0" applyNumberFormat="1" applyFill="1" applyBorder="1" applyAlignment="1">
      <alignment/>
    </xf>
    <xf numFmtId="206" fontId="10" fillId="42" borderId="44" xfId="0" applyNumberFormat="1" applyFont="1" applyFill="1" applyBorder="1" applyAlignment="1" applyProtection="1">
      <alignment horizontal="center"/>
      <protection hidden="1"/>
    </xf>
    <xf numFmtId="0" fontId="43" fillId="43" borderId="50" xfId="0" applyFont="1" applyFill="1" applyBorder="1" applyAlignment="1">
      <alignment horizontal="center" vertical="center" wrapText="1"/>
    </xf>
    <xf numFmtId="0" fontId="43" fillId="50" borderId="50" xfId="0" applyFont="1" applyFill="1" applyBorder="1" applyAlignment="1">
      <alignment horizontal="center" vertical="center" wrapText="1"/>
    </xf>
    <xf numFmtId="0" fontId="43" fillId="51" borderId="50" xfId="0" applyFont="1" applyFill="1" applyBorder="1" applyAlignment="1">
      <alignment horizontal="center" vertical="center" wrapText="1"/>
    </xf>
    <xf numFmtId="205" fontId="42" fillId="39" borderId="18" xfId="0" applyNumberFormat="1" applyFont="1" applyFill="1" applyBorder="1" applyAlignment="1" applyProtection="1">
      <alignment horizontal="center" vertical="center" wrapText="1"/>
      <protection/>
    </xf>
    <xf numFmtId="1" fontId="43" fillId="0" borderId="35" xfId="0" applyNumberFormat="1" applyFont="1" applyFill="1" applyBorder="1" applyAlignment="1">
      <alignment horizontal="center" vertical="center" wrapText="1"/>
    </xf>
    <xf numFmtId="206" fontId="43" fillId="52" borderId="51" xfId="0" applyNumberFormat="1" applyFont="1" applyFill="1" applyBorder="1" applyAlignment="1">
      <alignment horizontal="center" vertical="center" wrapText="1"/>
    </xf>
    <xf numFmtId="1" fontId="43" fillId="52" borderId="37" xfId="0" applyNumberFormat="1" applyFont="1" applyFill="1" applyBorder="1" applyAlignment="1">
      <alignment horizontal="center" vertical="center" wrapText="1"/>
    </xf>
    <xf numFmtId="0" fontId="43" fillId="35" borderId="52" xfId="0" applyFont="1" applyFill="1" applyBorder="1" applyAlignment="1">
      <alignment horizontal="center" vertical="center" wrapText="1"/>
    </xf>
    <xf numFmtId="0" fontId="43" fillId="48" borderId="53" xfId="0" applyFont="1" applyFill="1" applyBorder="1" applyAlignment="1">
      <alignment horizontal="center" vertical="center" wrapText="1"/>
    </xf>
    <xf numFmtId="45" fontId="43" fillId="0" borderId="54" xfId="0" applyNumberFormat="1" applyFont="1" applyFill="1" applyBorder="1" applyAlignment="1">
      <alignment horizontal="center" vertical="center" wrapText="1"/>
    </xf>
    <xf numFmtId="1" fontId="43" fillId="0" borderId="55" xfId="0" applyNumberFormat="1" applyFont="1" applyFill="1" applyBorder="1" applyAlignment="1">
      <alignment horizontal="center" vertical="center" wrapText="1"/>
    </xf>
    <xf numFmtId="0" fontId="43" fillId="48" borderId="56" xfId="0" applyFont="1" applyFill="1" applyBorder="1" applyAlignment="1">
      <alignment horizontal="center" vertical="center" wrapText="1"/>
    </xf>
    <xf numFmtId="0" fontId="43" fillId="48" borderId="57" xfId="0" applyFont="1" applyFill="1" applyBorder="1" applyAlignment="1">
      <alignment horizontal="center" vertical="center" wrapText="1"/>
    </xf>
    <xf numFmtId="0" fontId="43" fillId="48" borderId="58" xfId="0" applyFont="1" applyFill="1" applyBorder="1" applyAlignment="1">
      <alignment horizontal="center" vertical="center" wrapText="1"/>
    </xf>
    <xf numFmtId="45" fontId="43" fillId="0" borderId="39" xfId="0" applyNumberFormat="1" applyFont="1" applyFill="1" applyBorder="1" applyAlignment="1">
      <alignment horizontal="center" vertical="center" wrapText="1"/>
    </xf>
    <xf numFmtId="0" fontId="43" fillId="35" borderId="51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 applyProtection="1">
      <alignment horizontal="center" vertical="center" wrapText="1"/>
      <protection/>
    </xf>
    <xf numFmtId="0" fontId="61" fillId="0" borderId="59" xfId="0" applyFont="1" applyBorder="1" applyAlignment="1">
      <alignment/>
    </xf>
    <xf numFmtId="1" fontId="61" fillId="0" borderId="55" xfId="0" applyNumberFormat="1" applyFont="1" applyBorder="1" applyAlignment="1">
      <alignment/>
    </xf>
    <xf numFmtId="1" fontId="43" fillId="0" borderId="60" xfId="0" applyNumberFormat="1" applyFont="1" applyFill="1" applyBorder="1" applyAlignment="1">
      <alignment horizontal="center" vertical="center" wrapText="1"/>
    </xf>
    <xf numFmtId="0" fontId="61" fillId="0" borderId="61" xfId="0" applyFont="1" applyBorder="1" applyAlignment="1">
      <alignment/>
    </xf>
    <xf numFmtId="0" fontId="64" fillId="0" borderId="62" xfId="0" applyFont="1" applyBorder="1" applyAlignment="1">
      <alignment/>
    </xf>
    <xf numFmtId="0" fontId="64" fillId="0" borderId="63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/>
    </xf>
    <xf numFmtId="1" fontId="64" fillId="0" borderId="66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/>
    </xf>
    <xf numFmtId="21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/>
    </xf>
    <xf numFmtId="2" fontId="64" fillId="0" borderId="66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0" fontId="64" fillId="0" borderId="61" xfId="0" applyFont="1" applyBorder="1" applyAlignment="1">
      <alignment/>
    </xf>
    <xf numFmtId="21" fontId="64" fillId="0" borderId="13" xfId="0" applyNumberFormat="1" applyFont="1" applyBorder="1" applyAlignment="1">
      <alignment horizontal="center" vertical="center"/>
    </xf>
    <xf numFmtId="202" fontId="64" fillId="0" borderId="66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4" fillId="0" borderId="25" xfId="0" applyFont="1" applyBorder="1" applyAlignment="1">
      <alignment horizontal="center" vertical="center"/>
    </xf>
    <xf numFmtId="2" fontId="64" fillId="0" borderId="68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203" fontId="65" fillId="42" borderId="69" xfId="0" applyNumberFormat="1" applyFont="1" applyFill="1" applyBorder="1" applyAlignment="1" applyProtection="1">
      <alignment horizontal="center"/>
      <protection hidden="1"/>
    </xf>
    <xf numFmtId="203" fontId="65" fillId="42" borderId="70" xfId="0" applyNumberFormat="1" applyFont="1" applyFill="1" applyBorder="1" applyAlignment="1" applyProtection="1">
      <alignment horizontal="center"/>
      <protection hidden="1"/>
    </xf>
    <xf numFmtId="203" fontId="65" fillId="42" borderId="71" xfId="0" applyNumberFormat="1" applyFont="1" applyFill="1" applyBorder="1" applyAlignment="1" applyProtection="1">
      <alignment horizontal="center"/>
      <protection hidden="1"/>
    </xf>
    <xf numFmtId="203" fontId="65" fillId="42" borderId="72" xfId="0" applyNumberFormat="1" applyFont="1" applyFill="1" applyBorder="1" applyAlignment="1" applyProtection="1">
      <alignment horizontal="center"/>
      <protection hidden="1"/>
    </xf>
    <xf numFmtId="203" fontId="65" fillId="42" borderId="50" xfId="0" applyNumberFormat="1" applyFont="1" applyFill="1" applyBorder="1" applyAlignment="1" applyProtection="1">
      <alignment horizontal="center"/>
      <protection hidden="1"/>
    </xf>
    <xf numFmtId="203" fontId="65" fillId="42" borderId="29" xfId="0" applyNumberFormat="1" applyFont="1" applyFill="1" applyBorder="1" applyAlignment="1" applyProtection="1">
      <alignment horizontal="center"/>
      <protection hidden="1"/>
    </xf>
    <xf numFmtId="203" fontId="65" fillId="42" borderId="73" xfId="0" applyNumberFormat="1" applyFont="1" applyFill="1" applyBorder="1" applyAlignment="1" applyProtection="1">
      <alignment horizontal="center"/>
      <protection hidden="1"/>
    </xf>
    <xf numFmtId="203" fontId="65" fillId="42" borderId="52" xfId="0" applyNumberFormat="1" applyFont="1" applyFill="1" applyBorder="1" applyAlignment="1" applyProtection="1">
      <alignment horizontal="center"/>
      <protection hidden="1"/>
    </xf>
    <xf numFmtId="203" fontId="65" fillId="42" borderId="31" xfId="0" applyNumberFormat="1" applyFont="1" applyFill="1" applyBorder="1" applyAlignment="1" applyProtection="1">
      <alignment horizontal="center"/>
      <protection hidden="1"/>
    </xf>
    <xf numFmtId="0" fontId="64" fillId="43" borderId="0" xfId="0" applyFont="1" applyFill="1" applyAlignment="1">
      <alignment horizontal="center" wrapText="1"/>
    </xf>
    <xf numFmtId="9" fontId="64" fillId="43" borderId="0" xfId="0" applyNumberFormat="1" applyFont="1" applyFill="1" applyAlignment="1">
      <alignment horizontal="center" wrapText="1"/>
    </xf>
    <xf numFmtId="0" fontId="64" fillId="53" borderId="74" xfId="0" applyFont="1" applyFill="1" applyBorder="1" applyAlignment="1">
      <alignment horizontal="center" wrapText="1"/>
    </xf>
    <xf numFmtId="0" fontId="64" fillId="54" borderId="69" xfId="0" applyFont="1" applyFill="1" applyBorder="1" applyAlignment="1">
      <alignment horizontal="center" wrapText="1"/>
    </xf>
    <xf numFmtId="0" fontId="64" fillId="55" borderId="75" xfId="0" applyFont="1" applyFill="1" applyBorder="1" applyAlignment="1">
      <alignment horizontal="center" wrapText="1"/>
    </xf>
    <xf numFmtId="0" fontId="64" fillId="53" borderId="66" xfId="0" applyFont="1" applyFill="1" applyBorder="1" applyAlignment="1">
      <alignment horizontal="center" wrapText="1"/>
    </xf>
    <xf numFmtId="0" fontId="64" fillId="55" borderId="76" xfId="0" applyFont="1" applyFill="1" applyBorder="1" applyAlignment="1">
      <alignment horizontal="center" wrapText="1"/>
    </xf>
    <xf numFmtId="0" fontId="64" fillId="53" borderId="77" xfId="0" applyFont="1" applyFill="1" applyBorder="1" applyAlignment="1">
      <alignment horizontal="center" wrapText="1"/>
    </xf>
    <xf numFmtId="0" fontId="64" fillId="55" borderId="78" xfId="0" applyFont="1" applyFill="1" applyBorder="1" applyAlignment="1">
      <alignment horizontal="center" wrapText="1"/>
    </xf>
    <xf numFmtId="0" fontId="64" fillId="43" borderId="74" xfId="0" applyFont="1" applyFill="1" applyBorder="1" applyAlignment="1">
      <alignment horizontal="center" wrapText="1"/>
    </xf>
    <xf numFmtId="0" fontId="64" fillId="54" borderId="74" xfId="0" applyFont="1" applyFill="1" applyBorder="1" applyAlignment="1">
      <alignment horizontal="center" wrapText="1"/>
    </xf>
    <xf numFmtId="0" fontId="64" fillId="56" borderId="0" xfId="0" applyFont="1" applyFill="1" applyAlignment="1">
      <alignment horizontal="center" wrapText="1"/>
    </xf>
    <xf numFmtId="0" fontId="64" fillId="56" borderId="79" xfId="0" applyFont="1" applyFill="1" applyBorder="1" applyAlignment="1">
      <alignment horizontal="center" wrapText="1"/>
    </xf>
    <xf numFmtId="0" fontId="66" fillId="57" borderId="78" xfId="0" applyFont="1" applyFill="1" applyBorder="1" applyAlignment="1">
      <alignment wrapText="1"/>
    </xf>
    <xf numFmtId="0" fontId="66" fillId="57" borderId="75" xfId="0" applyFont="1" applyFill="1" applyBorder="1" applyAlignment="1">
      <alignment wrapText="1"/>
    </xf>
    <xf numFmtId="1" fontId="3" fillId="58" borderId="80" xfId="0" applyNumberFormat="1" applyFont="1" applyFill="1" applyBorder="1" applyAlignment="1" applyProtection="1">
      <alignment horizontal="center" vertical="center"/>
      <protection locked="0"/>
    </xf>
    <xf numFmtId="45" fontId="3" fillId="36" borderId="11" xfId="0" applyNumberFormat="1" applyFont="1" applyFill="1" applyBorder="1" applyAlignment="1" applyProtection="1">
      <alignment horizontal="center" vertical="center"/>
      <protection/>
    </xf>
    <xf numFmtId="206" fontId="3" fillId="36" borderId="13" xfId="0" applyNumberFormat="1" applyFont="1" applyFill="1" applyBorder="1" applyAlignment="1" applyProtection="1">
      <alignment horizontal="center" vertical="center"/>
      <protection/>
    </xf>
    <xf numFmtId="207" fontId="43" fillId="52" borderId="51" xfId="0" applyNumberFormat="1" applyFont="1" applyFill="1" applyBorder="1" applyAlignment="1">
      <alignment horizontal="center" vertical="center" wrapText="1"/>
    </xf>
    <xf numFmtId="205" fontId="3" fillId="36" borderId="16" xfId="0" applyNumberFormat="1" applyFont="1" applyFill="1" applyBorder="1" applyAlignment="1">
      <alignment horizontal="center" vertical="center"/>
    </xf>
    <xf numFmtId="207" fontId="3" fillId="36" borderId="13" xfId="0" applyNumberFormat="1" applyFont="1" applyFill="1" applyBorder="1" applyAlignment="1">
      <alignment horizontal="center" vertical="center"/>
    </xf>
    <xf numFmtId="20" fontId="43" fillId="0" borderId="38" xfId="0" applyNumberFormat="1" applyFont="1" applyFill="1" applyBorder="1" applyAlignment="1">
      <alignment horizontal="center" vertical="center" wrapText="1"/>
    </xf>
    <xf numFmtId="20" fontId="43" fillId="0" borderId="40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21" fontId="64" fillId="0" borderId="11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20" fontId="43" fillId="0" borderId="35" xfId="0" applyNumberFormat="1" applyFont="1" applyFill="1" applyBorder="1" applyAlignment="1">
      <alignment horizontal="center" vertical="center" wrapText="1"/>
    </xf>
    <xf numFmtId="1" fontId="3" fillId="35" borderId="81" xfId="0" applyNumberFormat="1" applyFont="1" applyFill="1" applyBorder="1" applyAlignment="1" applyProtection="1">
      <alignment horizontal="center" vertical="center"/>
      <protection locked="0"/>
    </xf>
    <xf numFmtId="20" fontId="43" fillId="0" borderId="54" xfId="0" applyNumberFormat="1" applyFont="1" applyFill="1" applyBorder="1" applyAlignment="1">
      <alignment horizontal="center" vertical="center" wrapText="1"/>
    </xf>
    <xf numFmtId="1" fontId="43" fillId="0" borderId="82" xfId="0" applyNumberFormat="1" applyFont="1" applyFill="1" applyBorder="1" applyAlignment="1">
      <alignment horizontal="center" vertical="center" wrapText="1"/>
    </xf>
    <xf numFmtId="0" fontId="33" fillId="37" borderId="16" xfId="0" applyFont="1" applyFill="1" applyBorder="1" applyAlignment="1" applyProtection="1">
      <alignment horizontal="right" wrapText="1"/>
      <protection/>
    </xf>
    <xf numFmtId="0" fontId="33" fillId="37" borderId="17" xfId="0" applyFont="1" applyFill="1" applyBorder="1" applyAlignment="1" applyProtection="1">
      <alignment horizontal="right" wrapText="1"/>
      <protection/>
    </xf>
    <xf numFmtId="0" fontId="3" fillId="35" borderId="83" xfId="0" applyFont="1" applyFill="1" applyBorder="1" applyAlignment="1" applyProtection="1">
      <alignment horizontal="center" vertical="center"/>
      <protection locked="0"/>
    </xf>
    <xf numFmtId="1" fontId="3" fillId="36" borderId="11" xfId="0" applyNumberFormat="1" applyFont="1" applyFill="1" applyBorder="1" applyAlignment="1">
      <alignment horizontal="center" vertical="center"/>
    </xf>
    <xf numFmtId="1" fontId="3" fillId="36" borderId="15" xfId="0" applyNumberFormat="1" applyFont="1" applyFill="1" applyBorder="1" applyAlignment="1">
      <alignment horizontal="center" vertical="center"/>
    </xf>
    <xf numFmtId="1" fontId="43" fillId="0" borderId="80" xfId="0" applyNumberFormat="1" applyFont="1" applyFill="1" applyBorder="1" applyAlignment="1">
      <alignment horizontal="center" vertical="center" wrapText="1"/>
    </xf>
    <xf numFmtId="1" fontId="43" fillId="0" borderId="84" xfId="0" applyNumberFormat="1" applyFont="1" applyFill="1" applyBorder="1" applyAlignment="1">
      <alignment horizontal="center" vertical="center" wrapText="1"/>
    </xf>
    <xf numFmtId="1" fontId="43" fillId="0" borderId="85" xfId="0" applyNumberFormat="1" applyFont="1" applyFill="1" applyBorder="1" applyAlignment="1">
      <alignment horizontal="center" vertical="center" wrapText="1"/>
    </xf>
    <xf numFmtId="1" fontId="43" fillId="0" borderId="86" xfId="0" applyNumberFormat="1" applyFont="1" applyFill="1" applyBorder="1" applyAlignment="1">
      <alignment horizontal="center" vertical="center" wrapText="1"/>
    </xf>
    <xf numFmtId="0" fontId="42" fillId="39" borderId="87" xfId="0" applyFont="1" applyFill="1" applyBorder="1" applyAlignment="1" applyProtection="1">
      <alignment horizontal="center" vertical="center" wrapText="1"/>
      <protection/>
    </xf>
    <xf numFmtId="0" fontId="42" fillId="39" borderId="39" xfId="0" applyFont="1" applyFill="1" applyBorder="1" applyAlignment="1" applyProtection="1">
      <alignment horizontal="center" vertical="center" wrapText="1"/>
      <protection/>
    </xf>
    <xf numFmtId="205" fontId="42" fillId="39" borderId="39" xfId="0" applyNumberFormat="1" applyFont="1" applyFill="1" applyBorder="1" applyAlignment="1" applyProtection="1">
      <alignment horizontal="center" vertical="center" wrapText="1"/>
      <protection/>
    </xf>
    <xf numFmtId="1" fontId="42" fillId="39" borderId="60" xfId="0" applyNumberFormat="1" applyFont="1" applyFill="1" applyBorder="1" applyAlignment="1" applyProtection="1">
      <alignment horizontal="center" vertical="center" wrapText="1"/>
      <protection/>
    </xf>
    <xf numFmtId="20" fontId="43" fillId="0" borderId="51" xfId="0" applyNumberFormat="1" applyFont="1" applyFill="1" applyBorder="1" applyAlignment="1">
      <alignment horizontal="center" vertical="center" wrapText="1"/>
    </xf>
    <xf numFmtId="2" fontId="64" fillId="0" borderId="13" xfId="0" applyNumberFormat="1" applyFont="1" applyBorder="1" applyAlignment="1">
      <alignment horizontal="center" vertical="center"/>
    </xf>
    <xf numFmtId="0" fontId="59" fillId="48" borderId="53" xfId="0" applyFont="1" applyFill="1" applyBorder="1" applyAlignment="1">
      <alignment horizontal="center"/>
    </xf>
    <xf numFmtId="0" fontId="59" fillId="48" borderId="55" xfId="0" applyFont="1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46" xfId="0" applyNumberFormat="1" applyFont="1" applyBorder="1" applyAlignment="1">
      <alignment horizontal="right"/>
    </xf>
    <xf numFmtId="9" fontId="0" fillId="0" borderId="47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0" fontId="64" fillId="0" borderId="88" xfId="0" applyFont="1" applyBorder="1" applyAlignment="1">
      <alignment horizontal="center"/>
    </xf>
    <xf numFmtId="0" fontId="43" fillId="59" borderId="35" xfId="0" applyFont="1" applyFill="1" applyBorder="1" applyAlignment="1">
      <alignment horizontal="center" vertical="center" wrapText="1"/>
    </xf>
    <xf numFmtId="0" fontId="43" fillId="60" borderId="38" xfId="0" applyFont="1" applyFill="1" applyBorder="1" applyAlignment="1">
      <alignment horizontal="center" vertical="center" wrapText="1"/>
    </xf>
    <xf numFmtId="0" fontId="43" fillId="60" borderId="35" xfId="0" applyFont="1" applyFill="1" applyBorder="1" applyAlignment="1">
      <alignment horizontal="center" vertical="center" wrapText="1"/>
    </xf>
    <xf numFmtId="0" fontId="44" fillId="60" borderId="35" xfId="0" applyFont="1" applyFill="1" applyBorder="1" applyAlignment="1">
      <alignment horizontal="center" vertical="center" wrapText="1"/>
    </xf>
    <xf numFmtId="0" fontId="44" fillId="60" borderId="38" xfId="0" applyFont="1" applyFill="1" applyBorder="1" applyAlignment="1">
      <alignment horizontal="center" vertical="center" wrapText="1"/>
    </xf>
    <xf numFmtId="0" fontId="43" fillId="60" borderId="50" xfId="0" applyFont="1" applyFill="1" applyBorder="1" applyAlignment="1">
      <alignment horizontal="center" vertical="center" wrapText="1"/>
    </xf>
    <xf numFmtId="0" fontId="43" fillId="61" borderId="35" xfId="0" applyFont="1" applyFill="1" applyBorder="1" applyAlignment="1">
      <alignment horizontal="center" vertical="center" wrapText="1"/>
    </xf>
    <xf numFmtId="0" fontId="43" fillId="60" borderId="51" xfId="0" applyFont="1" applyFill="1" applyBorder="1" applyAlignment="1">
      <alignment horizontal="center" vertical="center" wrapText="1"/>
    </xf>
    <xf numFmtId="0" fontId="43" fillId="60" borderId="54" xfId="0" applyFont="1" applyFill="1" applyBorder="1" applyAlignment="1">
      <alignment horizontal="center" vertical="center" wrapText="1"/>
    </xf>
    <xf numFmtId="0" fontId="44" fillId="60" borderId="54" xfId="0" applyFont="1" applyFill="1" applyBorder="1" applyAlignment="1">
      <alignment horizontal="center" vertical="center" wrapText="1"/>
    </xf>
    <xf numFmtId="0" fontId="43" fillId="61" borderId="50" xfId="0" applyFont="1" applyFill="1" applyBorder="1" applyAlignment="1">
      <alignment horizontal="center" vertical="center" wrapText="1"/>
    </xf>
    <xf numFmtId="0" fontId="43" fillId="60" borderId="89" xfId="0" applyFont="1" applyFill="1" applyBorder="1" applyAlignment="1">
      <alignment horizontal="center" vertical="center" wrapText="1"/>
    </xf>
    <xf numFmtId="0" fontId="43" fillId="60" borderId="52" xfId="0" applyFont="1" applyFill="1" applyBorder="1" applyAlignment="1">
      <alignment horizontal="center" vertical="center" wrapText="1"/>
    </xf>
    <xf numFmtId="0" fontId="44" fillId="59" borderId="51" xfId="0" applyFont="1" applyFill="1" applyBorder="1" applyAlignment="1">
      <alignment horizontal="center" vertical="center" wrapText="1"/>
    </xf>
    <xf numFmtId="0" fontId="43" fillId="59" borderId="51" xfId="0" applyFont="1" applyFill="1" applyBorder="1" applyAlignment="1">
      <alignment horizontal="center" vertical="center" wrapText="1"/>
    </xf>
    <xf numFmtId="0" fontId="43" fillId="59" borderId="52" xfId="0" applyFont="1" applyFill="1" applyBorder="1" applyAlignment="1">
      <alignment horizontal="center" vertical="center" wrapText="1"/>
    </xf>
    <xf numFmtId="0" fontId="43" fillId="59" borderId="89" xfId="0" applyFont="1" applyFill="1" applyBorder="1" applyAlignment="1">
      <alignment horizontal="center" vertical="center" wrapText="1"/>
    </xf>
    <xf numFmtId="0" fontId="44" fillId="59" borderId="52" xfId="0" applyFont="1" applyFill="1" applyBorder="1" applyAlignment="1">
      <alignment horizontal="center" vertical="center" wrapText="1"/>
    </xf>
    <xf numFmtId="0" fontId="43" fillId="62" borderId="35" xfId="0" applyFont="1" applyFill="1" applyBorder="1" applyAlignment="1">
      <alignment horizontal="center" vertical="center" wrapText="1"/>
    </xf>
    <xf numFmtId="0" fontId="44" fillId="62" borderId="35" xfId="0" applyFont="1" applyFill="1" applyBorder="1" applyAlignment="1">
      <alignment horizontal="center" vertical="center" wrapText="1"/>
    </xf>
    <xf numFmtId="0" fontId="43" fillId="63" borderId="35" xfId="0" applyFont="1" applyFill="1" applyBorder="1" applyAlignment="1">
      <alignment horizontal="center" vertical="center" wrapText="1"/>
    </xf>
    <xf numFmtId="0" fontId="43" fillId="64" borderId="35" xfId="0" applyFont="1" applyFill="1" applyBorder="1" applyAlignment="1">
      <alignment horizontal="center" vertical="center" wrapText="1"/>
    </xf>
    <xf numFmtId="0" fontId="44" fillId="64" borderId="35" xfId="0" applyFont="1" applyFill="1" applyBorder="1" applyAlignment="1">
      <alignment horizontal="center" vertical="center" wrapText="1"/>
    </xf>
    <xf numFmtId="0" fontId="43" fillId="64" borderId="50" xfId="0" applyFont="1" applyFill="1" applyBorder="1" applyAlignment="1">
      <alignment horizontal="center" vertical="center" wrapText="1"/>
    </xf>
    <xf numFmtId="0" fontId="43" fillId="62" borderId="50" xfId="0" applyFont="1" applyFill="1" applyBorder="1" applyAlignment="1">
      <alignment horizontal="center" vertical="center" wrapText="1"/>
    </xf>
    <xf numFmtId="0" fontId="43" fillId="65" borderId="50" xfId="0" applyFont="1" applyFill="1" applyBorder="1" applyAlignment="1">
      <alignment horizontal="center" vertical="center" wrapText="1"/>
    </xf>
    <xf numFmtId="0" fontId="43" fillId="66" borderId="35" xfId="0" applyFont="1" applyFill="1" applyBorder="1" applyAlignment="1">
      <alignment horizontal="center" vertical="center" wrapText="1"/>
    </xf>
    <xf numFmtId="0" fontId="44" fillId="66" borderId="35" xfId="0" applyFont="1" applyFill="1" applyBorder="1" applyAlignment="1">
      <alignment horizontal="center" vertical="center" wrapText="1"/>
    </xf>
    <xf numFmtId="0" fontId="43" fillId="67" borderId="50" xfId="0" applyFont="1" applyFill="1" applyBorder="1" applyAlignment="1">
      <alignment horizontal="center" vertical="center" wrapText="1"/>
    </xf>
    <xf numFmtId="0" fontId="43" fillId="67" borderId="35" xfId="0" applyFont="1" applyFill="1" applyBorder="1" applyAlignment="1">
      <alignment horizontal="center" vertical="center" wrapText="1"/>
    </xf>
    <xf numFmtId="0" fontId="43" fillId="66" borderId="50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68" borderId="35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9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48" borderId="47" xfId="0" applyFont="1" applyFill="1" applyBorder="1" applyAlignment="1">
      <alignment horizontal="center" vertical="center"/>
    </xf>
    <xf numFmtId="0" fontId="63" fillId="48" borderId="51" xfId="0" applyFont="1" applyFill="1" applyBorder="1" applyAlignment="1">
      <alignment horizontal="center" vertical="center"/>
    </xf>
    <xf numFmtId="0" fontId="63" fillId="48" borderId="37" xfId="0" applyFont="1" applyFill="1" applyBorder="1" applyAlignment="1">
      <alignment horizontal="center" vertical="center"/>
    </xf>
    <xf numFmtId="0" fontId="16" fillId="39" borderId="26" xfId="0" applyFont="1" applyFill="1" applyBorder="1" applyAlignment="1" applyProtection="1">
      <alignment horizontal="center" wrapText="1"/>
      <protection/>
    </xf>
    <xf numFmtId="0" fontId="16" fillId="39" borderId="59" xfId="0" applyFont="1" applyFill="1" applyBorder="1" applyAlignment="1" applyProtection="1">
      <alignment horizontal="center" wrapText="1"/>
      <protection/>
    </xf>
    <xf numFmtId="0" fontId="0" fillId="0" borderId="59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0" fillId="48" borderId="45" xfId="0" applyFont="1" applyFill="1" applyBorder="1" applyAlignment="1" applyProtection="1">
      <alignment horizontal="center" vertical="center"/>
      <protection/>
    </xf>
    <xf numFmtId="0" fontId="60" fillId="48" borderId="38" xfId="0" applyFont="1" applyFill="1" applyBorder="1" applyAlignment="1" applyProtection="1">
      <alignment horizontal="center" vertical="center"/>
      <protection/>
    </xf>
    <xf numFmtId="0" fontId="60" fillId="48" borderId="34" xfId="0" applyFont="1" applyFill="1" applyBorder="1" applyAlignment="1" applyProtection="1">
      <alignment horizontal="center" vertical="center"/>
      <protection/>
    </xf>
    <xf numFmtId="0" fontId="60" fillId="48" borderId="46" xfId="0" applyFont="1" applyFill="1" applyBorder="1" applyAlignment="1">
      <alignment horizontal="center" vertical="center"/>
    </xf>
    <xf numFmtId="0" fontId="63" fillId="48" borderId="35" xfId="0" applyFont="1" applyFill="1" applyBorder="1" applyAlignment="1">
      <alignment horizontal="center" vertical="center"/>
    </xf>
    <xf numFmtId="0" fontId="63" fillId="48" borderId="36" xfId="0" applyFont="1" applyFill="1" applyBorder="1" applyAlignment="1">
      <alignment horizontal="center" vertical="center"/>
    </xf>
    <xf numFmtId="0" fontId="25" fillId="0" borderId="91" xfId="0" applyFont="1" applyBorder="1" applyAlignment="1">
      <alignment/>
    </xf>
    <xf numFmtId="0" fontId="0" fillId="0" borderId="0" xfId="0" applyBorder="1" applyAlignment="1">
      <alignment/>
    </xf>
    <xf numFmtId="0" fontId="0" fillId="0" borderId="92" xfId="0" applyBorder="1" applyAlignment="1">
      <alignment/>
    </xf>
    <xf numFmtId="0" fontId="55" fillId="0" borderId="9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2" xfId="0" applyFont="1" applyBorder="1" applyAlignment="1">
      <alignment/>
    </xf>
    <xf numFmtId="0" fontId="23" fillId="0" borderId="32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30" fillId="0" borderId="9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92" xfId="0" applyFont="1" applyBorder="1" applyAlignment="1">
      <alignment/>
    </xf>
    <xf numFmtId="0" fontId="18" fillId="52" borderId="26" xfId="0" applyFont="1" applyFill="1" applyBorder="1" applyAlignment="1" applyProtection="1">
      <alignment horizontal="center" wrapText="1"/>
      <protection/>
    </xf>
    <xf numFmtId="0" fontId="18" fillId="52" borderId="59" xfId="0" applyFont="1" applyFill="1" applyBorder="1" applyAlignment="1" applyProtection="1">
      <alignment horizontal="center" wrapText="1"/>
      <protection/>
    </xf>
    <xf numFmtId="0" fontId="0" fillId="52" borderId="59" xfId="0" applyFill="1" applyBorder="1" applyAlignment="1" applyProtection="1">
      <alignment horizontal="center"/>
      <protection/>
    </xf>
    <xf numFmtId="0" fontId="0" fillId="52" borderId="27" xfId="0" applyFill="1" applyBorder="1" applyAlignment="1" applyProtection="1">
      <alignment horizontal="center"/>
      <protection/>
    </xf>
    <xf numFmtId="0" fontId="30" fillId="0" borderId="93" xfId="0" applyFont="1" applyBorder="1" applyAlignment="1">
      <alignment/>
    </xf>
    <xf numFmtId="0" fontId="31" fillId="0" borderId="94" xfId="0" applyFont="1" applyBorder="1" applyAlignment="1">
      <alignment/>
    </xf>
    <xf numFmtId="0" fontId="31" fillId="0" borderId="95" xfId="0" applyFont="1" applyBorder="1" applyAlignment="1">
      <alignment/>
    </xf>
    <xf numFmtId="0" fontId="52" fillId="0" borderId="91" xfId="0" applyFont="1" applyBorder="1" applyAlignment="1">
      <alignment/>
    </xf>
    <xf numFmtId="0" fontId="62" fillId="39" borderId="93" xfId="0" applyFont="1" applyFill="1" applyBorder="1" applyAlignment="1" applyProtection="1">
      <alignment horizontal="center"/>
      <protection/>
    </xf>
    <xf numFmtId="0" fontId="63" fillId="0" borderId="94" xfId="0" applyFont="1" applyBorder="1" applyAlignment="1" applyProtection="1">
      <alignment horizontal="center"/>
      <protection/>
    </xf>
    <xf numFmtId="0" fontId="63" fillId="0" borderId="95" xfId="0" applyFont="1" applyBorder="1" applyAlignment="1" applyProtection="1">
      <alignment horizontal="center"/>
      <protection/>
    </xf>
    <xf numFmtId="0" fontId="49" fillId="0" borderId="91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 wrapText="1"/>
      <protection/>
    </xf>
    <xf numFmtId="0" fontId="49" fillId="0" borderId="0" xfId="45" applyFont="1" applyBorder="1" applyAlignment="1" applyProtection="1">
      <alignment horizontal="center"/>
      <protection/>
    </xf>
    <xf numFmtId="0" fontId="49" fillId="0" borderId="92" xfId="45" applyFont="1" applyBorder="1" applyAlignment="1" applyProtection="1">
      <alignment horizontal="center"/>
      <protection/>
    </xf>
    <xf numFmtId="0" fontId="21" fillId="39" borderId="32" xfId="0" applyFont="1" applyFill="1" applyBorder="1" applyAlignment="1" applyProtection="1">
      <alignment horizontal="center" wrapText="1"/>
      <protection/>
    </xf>
    <xf numFmtId="0" fontId="21" fillId="39" borderId="48" xfId="0" applyFont="1" applyFill="1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0" fillId="0" borderId="49" xfId="0" applyBorder="1" applyAlignment="1" applyProtection="1">
      <alignment horizontal="center" wrapText="1"/>
      <protection/>
    </xf>
    <xf numFmtId="0" fontId="25" fillId="0" borderId="26" xfId="0" applyFont="1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56" fillId="0" borderId="9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92" xfId="0" applyFont="1" applyBorder="1" applyAlignment="1">
      <alignment/>
    </xf>
    <xf numFmtId="0" fontId="22" fillId="37" borderId="32" xfId="0" applyFont="1" applyFill="1" applyBorder="1" applyAlignment="1" applyProtection="1">
      <alignment horizontal="center" wrapText="1"/>
      <protection/>
    </xf>
    <xf numFmtId="0" fontId="30" fillId="0" borderId="26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27" xfId="0" applyFont="1" applyBorder="1" applyAlignment="1">
      <alignment/>
    </xf>
    <xf numFmtId="0" fontId="21" fillId="0" borderId="32" xfId="0" applyFont="1" applyFill="1" applyBorder="1" applyAlignment="1" applyProtection="1">
      <alignment horizontal="center" wrapText="1"/>
      <protection/>
    </xf>
    <xf numFmtId="0" fontId="21" fillId="0" borderId="48" xfId="0" applyFont="1" applyFill="1" applyBorder="1" applyAlignment="1" applyProtection="1">
      <alignment horizontal="center" wrapText="1"/>
      <protection/>
    </xf>
    <xf numFmtId="0" fontId="0" fillId="0" borderId="48" xfId="0" applyFill="1" applyBorder="1" applyAlignment="1" applyProtection="1">
      <alignment horizontal="center" wrapText="1"/>
      <protection/>
    </xf>
    <xf numFmtId="0" fontId="0" fillId="0" borderId="49" xfId="0" applyFill="1" applyBorder="1" applyAlignment="1" applyProtection="1">
      <alignment horizontal="center" wrapText="1"/>
      <protection/>
    </xf>
    <xf numFmtId="0" fontId="59" fillId="48" borderId="58" xfId="0" applyFont="1" applyFill="1" applyBorder="1" applyAlignment="1">
      <alignment horizontal="center" vertical="center"/>
    </xf>
    <xf numFmtId="0" fontId="62" fillId="48" borderId="51" xfId="0" applyFont="1" applyFill="1" applyBorder="1" applyAlignment="1">
      <alignment horizontal="center" vertical="center"/>
    </xf>
    <xf numFmtId="0" fontId="62" fillId="48" borderId="86" xfId="0" applyFont="1" applyFill="1" applyBorder="1" applyAlignment="1">
      <alignment horizontal="center" vertical="center"/>
    </xf>
    <xf numFmtId="0" fontId="24" fillId="52" borderId="4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4" fillId="69" borderId="46" xfId="0" applyFont="1" applyFill="1" applyBorder="1" applyAlignment="1">
      <alignment horizontal="center" vertical="center"/>
    </xf>
    <xf numFmtId="0" fontId="0" fillId="69" borderId="36" xfId="0" applyFill="1" applyBorder="1" applyAlignment="1">
      <alignment horizontal="center" vertical="center"/>
    </xf>
    <xf numFmtId="0" fontId="24" fillId="70" borderId="4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37" fillId="49" borderId="46" xfId="0" applyNumberFormat="1" applyFont="1" applyFill="1" applyBorder="1" applyAlignment="1">
      <alignment horizontal="center" vertical="center" wrapText="1"/>
    </xf>
    <xf numFmtId="0" fontId="0" fillId="49" borderId="36" xfId="0" applyFill="1" applyBorder="1" applyAlignment="1">
      <alignment horizontal="center" vertical="center" wrapText="1"/>
    </xf>
    <xf numFmtId="0" fontId="24" fillId="68" borderId="46" xfId="0" applyFont="1" applyFill="1" applyBorder="1" applyAlignment="1">
      <alignment horizontal="center" vertical="center"/>
    </xf>
    <xf numFmtId="0" fontId="0" fillId="68" borderId="36" xfId="0" applyFill="1" applyBorder="1" applyAlignment="1">
      <alignment horizontal="center" vertical="center"/>
    </xf>
    <xf numFmtId="0" fontId="24" fillId="71" borderId="47" xfId="0" applyFont="1" applyFill="1" applyBorder="1" applyAlignment="1">
      <alignment horizontal="center" vertical="center"/>
    </xf>
    <xf numFmtId="0" fontId="0" fillId="71" borderId="37" xfId="0" applyFill="1" applyBorder="1" applyAlignment="1">
      <alignment horizontal="center" vertical="center"/>
    </xf>
    <xf numFmtId="0" fontId="59" fillId="48" borderId="96" xfId="0" applyFont="1" applyFill="1" applyBorder="1" applyAlignment="1" applyProtection="1">
      <alignment horizontal="center" vertical="center"/>
      <protection/>
    </xf>
    <xf numFmtId="0" fontId="59" fillId="48" borderId="38" xfId="0" applyFont="1" applyFill="1" applyBorder="1" applyAlignment="1" applyProtection="1">
      <alignment horizontal="center" vertical="center"/>
      <protection/>
    </xf>
    <xf numFmtId="0" fontId="59" fillId="48" borderId="85" xfId="0" applyFont="1" applyFill="1" applyBorder="1" applyAlignment="1" applyProtection="1">
      <alignment horizontal="center" vertical="center"/>
      <protection/>
    </xf>
    <xf numFmtId="0" fontId="59" fillId="48" borderId="57" xfId="0" applyFont="1" applyFill="1" applyBorder="1" applyAlignment="1">
      <alignment horizontal="center" vertical="center"/>
    </xf>
    <xf numFmtId="0" fontId="62" fillId="48" borderId="35" xfId="0" applyFont="1" applyFill="1" applyBorder="1" applyAlignment="1">
      <alignment horizontal="center" vertical="center"/>
    </xf>
    <xf numFmtId="0" fontId="62" fillId="48" borderId="84" xfId="0" applyFont="1" applyFill="1" applyBorder="1" applyAlignment="1">
      <alignment horizontal="center" vertical="center"/>
    </xf>
    <xf numFmtId="0" fontId="27" fillId="0" borderId="91" xfId="0" applyFont="1" applyBorder="1" applyAlignment="1">
      <alignment/>
    </xf>
    <xf numFmtId="1" fontId="55" fillId="72" borderId="57" xfId="0" applyNumberFormat="1" applyFont="1" applyFill="1" applyBorder="1" applyAlignment="1">
      <alignment horizontal="center" vertical="center" wrapText="1"/>
    </xf>
    <xf numFmtId="1" fontId="55" fillId="72" borderId="35" xfId="0" applyNumberFormat="1" applyFont="1" applyFill="1" applyBorder="1" applyAlignment="1">
      <alignment horizontal="center" vertical="center" wrapText="1"/>
    </xf>
    <xf numFmtId="1" fontId="55" fillId="72" borderId="84" xfId="0" applyNumberFormat="1" applyFont="1" applyFill="1" applyBorder="1" applyAlignment="1">
      <alignment horizontal="center" vertical="center" wrapText="1"/>
    </xf>
    <xf numFmtId="1" fontId="60" fillId="72" borderId="46" xfId="0" applyNumberFormat="1" applyFont="1" applyFill="1" applyBorder="1" applyAlignment="1">
      <alignment horizontal="center" vertical="center"/>
    </xf>
    <xf numFmtId="1" fontId="60" fillId="72" borderId="35" xfId="0" applyNumberFormat="1" applyFont="1" applyFill="1" applyBorder="1" applyAlignment="1">
      <alignment horizontal="center" vertical="center"/>
    </xf>
    <xf numFmtId="1" fontId="60" fillId="72" borderId="36" xfId="0" applyNumberFormat="1" applyFont="1" applyFill="1" applyBorder="1" applyAlignment="1">
      <alignment horizontal="center" vertical="center"/>
    </xf>
    <xf numFmtId="0" fontId="59" fillId="48" borderId="33" xfId="0" applyFont="1" applyFill="1" applyBorder="1" applyAlignment="1" applyProtection="1">
      <alignment horizontal="center" vertical="center"/>
      <protection/>
    </xf>
    <xf numFmtId="0" fontId="59" fillId="48" borderId="18" xfId="0" applyFont="1" applyFill="1" applyBorder="1" applyAlignment="1" applyProtection="1">
      <alignment horizontal="center" vertical="center"/>
      <protection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9" fillId="48" borderId="19" xfId="0" applyFont="1" applyFill="1" applyBorder="1" applyAlignment="1" applyProtection="1">
      <alignment horizontal="center" vertical="center"/>
      <protection/>
    </xf>
    <xf numFmtId="0" fontId="59" fillId="48" borderId="97" xfId="0" applyFont="1" applyFill="1" applyBorder="1" applyAlignment="1" applyProtection="1">
      <alignment horizontal="center" vertical="center"/>
      <protection/>
    </xf>
    <xf numFmtId="0" fontId="63" fillId="0" borderId="98" xfId="0" applyFont="1" applyBorder="1" applyAlignment="1">
      <alignment horizontal="center" vertical="center"/>
    </xf>
    <xf numFmtId="0" fontId="33" fillId="34" borderId="88" xfId="0" applyFont="1" applyFill="1" applyBorder="1" applyAlignment="1">
      <alignment horizontal="right" wrapText="1"/>
    </xf>
    <xf numFmtId="0" fontId="33" fillId="34" borderId="58" xfId="0" applyFont="1" applyFill="1" applyBorder="1" applyAlignment="1">
      <alignment horizontal="right" wrapText="1"/>
    </xf>
    <xf numFmtId="0" fontId="33" fillId="34" borderId="12" xfId="0" applyFont="1" applyFill="1" applyBorder="1" applyAlignment="1">
      <alignment horizontal="right" wrapText="1"/>
    </xf>
    <xf numFmtId="0" fontId="33" fillId="34" borderId="56" xfId="0" applyFont="1" applyFill="1" applyBorder="1" applyAlignment="1">
      <alignment horizontal="right" wrapText="1"/>
    </xf>
    <xf numFmtId="0" fontId="33" fillId="52" borderId="32" xfId="0" applyFont="1" applyFill="1" applyBorder="1" applyAlignment="1" applyProtection="1">
      <alignment horizontal="center" wrapText="1"/>
      <protection/>
    </xf>
    <xf numFmtId="0" fontId="33" fillId="52" borderId="48" xfId="0" applyFont="1" applyFill="1" applyBorder="1" applyAlignment="1" applyProtection="1">
      <alignment horizontal="center" wrapText="1"/>
      <protection/>
    </xf>
    <xf numFmtId="0" fontId="31" fillId="52" borderId="48" xfId="0" applyFont="1" applyFill="1" applyBorder="1" applyAlignment="1" applyProtection="1">
      <alignment horizontal="center" wrapText="1"/>
      <protection/>
    </xf>
    <xf numFmtId="0" fontId="31" fillId="52" borderId="49" xfId="0" applyFont="1" applyFill="1" applyBorder="1" applyAlignment="1" applyProtection="1">
      <alignment horizontal="center" wrapText="1"/>
      <protection/>
    </xf>
    <xf numFmtId="0" fontId="33" fillId="37" borderId="32" xfId="0" applyFont="1" applyFill="1" applyBorder="1" applyAlignment="1" applyProtection="1">
      <alignment horizontal="center" wrapText="1"/>
      <protection/>
    </xf>
    <xf numFmtId="0" fontId="33" fillId="37" borderId="49" xfId="0" applyFont="1" applyFill="1" applyBorder="1" applyAlignment="1" applyProtection="1">
      <alignment horizontal="center" wrapText="1"/>
      <protection/>
    </xf>
    <xf numFmtId="0" fontId="67" fillId="37" borderId="32" xfId="0" applyFont="1" applyFill="1" applyBorder="1" applyAlignment="1" applyProtection="1">
      <alignment horizontal="center" wrapText="1"/>
      <protection/>
    </xf>
    <xf numFmtId="0" fontId="67" fillId="37" borderId="49" xfId="0" applyFont="1" applyFill="1" applyBorder="1" applyAlignment="1" applyProtection="1">
      <alignment horizontal="center" wrapText="1"/>
      <protection/>
    </xf>
    <xf numFmtId="0" fontId="3" fillId="73" borderId="26" xfId="0" applyFont="1" applyFill="1" applyBorder="1" applyAlignment="1" applyProtection="1">
      <alignment horizontal="fill"/>
      <protection/>
    </xf>
    <xf numFmtId="0" fontId="31" fillId="34" borderId="91" xfId="0" applyFont="1" applyFill="1" applyBorder="1" applyAlignment="1" applyProtection="1">
      <alignment/>
      <protection/>
    </xf>
    <xf numFmtId="0" fontId="31" fillId="34" borderId="93" xfId="0" applyFont="1" applyFill="1" applyBorder="1" applyAlignment="1" applyProtection="1">
      <alignment/>
      <protection/>
    </xf>
    <xf numFmtId="0" fontId="33" fillId="37" borderId="14" xfId="0" applyFont="1" applyFill="1" applyBorder="1" applyAlignment="1" applyProtection="1">
      <alignment horizontal="right" wrapText="1"/>
      <protection/>
    </xf>
    <xf numFmtId="0" fontId="31" fillId="0" borderId="99" xfId="0" applyFont="1" applyBorder="1" applyAlignment="1">
      <alignment wrapText="1"/>
    </xf>
    <xf numFmtId="0" fontId="45" fillId="49" borderId="48" xfId="0" applyFont="1" applyFill="1" applyBorder="1" applyAlignment="1">
      <alignment horizontal="center" vertical="center" wrapText="1"/>
    </xf>
    <xf numFmtId="0" fontId="45" fillId="49" borderId="48" xfId="0" applyFont="1" applyFill="1" applyBorder="1" applyAlignment="1">
      <alignment horizontal="center" vertical="center"/>
    </xf>
    <xf numFmtId="0" fontId="11" fillId="42" borderId="93" xfId="0" applyFont="1" applyFill="1" applyBorder="1" applyAlignment="1">
      <alignment horizontal="center" wrapText="1"/>
    </xf>
    <xf numFmtId="0" fontId="11" fillId="42" borderId="94" xfId="0" applyFont="1" applyFill="1" applyBorder="1" applyAlignment="1">
      <alignment horizontal="center" wrapText="1"/>
    </xf>
    <xf numFmtId="0" fontId="11" fillId="42" borderId="95" xfId="0" applyFont="1" applyFill="1" applyBorder="1" applyAlignment="1">
      <alignment horizontal="center" wrapText="1"/>
    </xf>
    <xf numFmtId="0" fontId="64" fillId="56" borderId="74" xfId="0" applyFont="1" applyFill="1" applyBorder="1" applyAlignment="1">
      <alignment horizontal="left" wrapText="1"/>
    </xf>
    <xf numFmtId="0" fontId="64" fillId="56" borderId="69" xfId="0" applyFont="1" applyFill="1" applyBorder="1" applyAlignment="1">
      <alignment horizontal="left" wrapText="1"/>
    </xf>
    <xf numFmtId="0" fontId="64" fillId="54" borderId="69" xfId="0" applyFont="1" applyFill="1" applyBorder="1" applyAlignment="1">
      <alignment horizontal="center" wrapText="1"/>
    </xf>
    <xf numFmtId="0" fontId="64" fillId="43" borderId="70" xfId="0" applyFont="1" applyFill="1" applyBorder="1" applyAlignment="1">
      <alignment horizontal="center" wrapText="1"/>
    </xf>
    <xf numFmtId="0" fontId="41" fillId="45" borderId="24" xfId="0" applyFont="1" applyFill="1" applyBorder="1" applyAlignment="1">
      <alignment horizontal="center" vertical="center" wrapText="1"/>
    </xf>
    <xf numFmtId="0" fontId="64" fillId="74" borderId="100" xfId="0" applyFont="1" applyFill="1" applyBorder="1" applyAlignment="1">
      <alignment horizontal="center" wrapText="1"/>
    </xf>
    <xf numFmtId="0" fontId="64" fillId="74" borderId="101" xfId="0" applyFont="1" applyFill="1" applyBorder="1" applyAlignment="1">
      <alignment horizontal="center" wrapText="1"/>
    </xf>
    <xf numFmtId="0" fontId="64" fillId="75" borderId="100" xfId="0" applyFont="1" applyFill="1" applyBorder="1" applyAlignment="1">
      <alignment horizontal="center" wrapText="1"/>
    </xf>
    <xf numFmtId="0" fontId="64" fillId="76" borderId="77" xfId="0" applyFont="1" applyFill="1" applyBorder="1" applyAlignment="1">
      <alignment horizontal="center" wrapText="1"/>
    </xf>
    <xf numFmtId="0" fontId="64" fillId="76" borderId="74" xfId="0" applyFont="1" applyFill="1" applyBorder="1" applyAlignment="1">
      <alignment horizontal="center" wrapText="1"/>
    </xf>
    <xf numFmtId="0" fontId="64" fillId="55" borderId="76" xfId="0" applyFont="1" applyFill="1" applyBorder="1" applyAlignment="1">
      <alignment horizontal="center" wrapText="1"/>
    </xf>
    <xf numFmtId="0" fontId="64" fillId="43" borderId="102" xfId="0" applyFont="1" applyFill="1" applyBorder="1" applyAlignment="1">
      <alignment horizontal="center" wrapText="1"/>
    </xf>
    <xf numFmtId="0" fontId="64" fillId="55" borderId="78" xfId="0" applyFont="1" applyFill="1" applyBorder="1" applyAlignment="1">
      <alignment horizontal="center" wrapText="1"/>
    </xf>
    <xf numFmtId="0" fontId="4" fillId="77" borderId="77" xfId="0" applyFont="1" applyFill="1" applyBorder="1" applyAlignment="1">
      <alignment horizontal="center" vertical="center"/>
    </xf>
    <xf numFmtId="0" fontId="0" fillId="48" borderId="77" xfId="0" applyFill="1" applyBorder="1" applyAlignment="1">
      <alignment horizontal="center" vertical="center"/>
    </xf>
    <xf numFmtId="0" fontId="0" fillId="48" borderId="100" xfId="0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wrapText="1"/>
    </xf>
    <xf numFmtId="0" fontId="11" fillId="42" borderId="59" xfId="0" applyFont="1" applyFill="1" applyBorder="1" applyAlignment="1">
      <alignment horizontal="center" wrapText="1"/>
    </xf>
    <xf numFmtId="0" fontId="11" fillId="42" borderId="27" xfId="0" applyFont="1" applyFill="1" applyBorder="1" applyAlignment="1">
      <alignment horizontal="center" wrapText="1"/>
    </xf>
    <xf numFmtId="0" fontId="41" fillId="45" borderId="103" xfId="0" applyFont="1" applyFill="1" applyBorder="1" applyAlignment="1">
      <alignment horizontal="center" vertical="center" wrapText="1"/>
    </xf>
    <xf numFmtId="0" fontId="64" fillId="53" borderId="77" xfId="0" applyFont="1" applyFill="1" applyBorder="1" applyAlignment="1">
      <alignment horizontal="center" wrapText="1"/>
    </xf>
    <xf numFmtId="0" fontId="64" fillId="56" borderId="100" xfId="0" applyFont="1" applyFill="1" applyBorder="1" applyAlignment="1">
      <alignment horizontal="center" wrapText="1"/>
    </xf>
    <xf numFmtId="0" fontId="64" fillId="54" borderId="100" xfId="0" applyFont="1" applyFill="1" applyBorder="1" applyAlignment="1">
      <alignment horizontal="center" wrapText="1"/>
    </xf>
    <xf numFmtId="0" fontId="64" fillId="74" borderId="69" xfId="0" applyFont="1" applyFill="1" applyBorder="1" applyAlignment="1">
      <alignment horizontal="center" wrapText="1"/>
    </xf>
    <xf numFmtId="0" fontId="64" fillId="74" borderId="104" xfId="0" applyFont="1" applyFill="1" applyBorder="1" applyAlignment="1">
      <alignment horizontal="center" wrapText="1"/>
    </xf>
    <xf numFmtId="0" fontId="64" fillId="75" borderId="69" xfId="0" applyFont="1" applyFill="1" applyBorder="1" applyAlignment="1">
      <alignment horizontal="center" wrapText="1"/>
    </xf>
    <xf numFmtId="0" fontId="64" fillId="43" borderId="74" xfId="0" applyFont="1" applyFill="1" applyBorder="1" applyAlignment="1">
      <alignment horizontal="center" wrapText="1"/>
    </xf>
    <xf numFmtId="0" fontId="64" fillId="53" borderId="66" xfId="0" applyFont="1" applyFill="1" applyBorder="1" applyAlignment="1">
      <alignment horizontal="center" wrapText="1"/>
    </xf>
    <xf numFmtId="0" fontId="64" fillId="56" borderId="72" xfId="0" applyFont="1" applyFill="1" applyBorder="1" applyAlignment="1">
      <alignment horizontal="center" wrapText="1"/>
    </xf>
    <xf numFmtId="0" fontId="64" fillId="43" borderId="77" xfId="0" applyFont="1" applyFill="1" applyBorder="1" applyAlignment="1">
      <alignment horizontal="center" wrapText="1"/>
    </xf>
    <xf numFmtId="0" fontId="64" fillId="56" borderId="69" xfId="0" applyFont="1" applyFill="1" applyBorder="1" applyAlignment="1">
      <alignment horizontal="center" wrapText="1"/>
    </xf>
    <xf numFmtId="9" fontId="64" fillId="56" borderId="72" xfId="0" applyNumberFormat="1" applyFont="1" applyFill="1" applyBorder="1" applyAlignment="1">
      <alignment horizontal="center" wrapText="1"/>
    </xf>
    <xf numFmtId="9" fontId="64" fillId="54" borderId="72" xfId="0" applyNumberFormat="1" applyFont="1" applyFill="1" applyBorder="1" applyAlignment="1">
      <alignment horizontal="center" wrapText="1"/>
    </xf>
    <xf numFmtId="0" fontId="64" fillId="43" borderId="50" xfId="0" applyFont="1" applyFill="1" applyBorder="1" applyAlignment="1">
      <alignment horizontal="center" wrapText="1"/>
    </xf>
    <xf numFmtId="0" fontId="64" fillId="43" borderId="105" xfId="0" applyFont="1" applyFill="1" applyBorder="1" applyAlignment="1">
      <alignment horizontal="center" wrapText="1"/>
    </xf>
    <xf numFmtId="0" fontId="64" fillId="55" borderId="42" xfId="0" applyFont="1" applyFill="1" applyBorder="1" applyAlignment="1">
      <alignment horizontal="center" wrapText="1"/>
    </xf>
    <xf numFmtId="0" fontId="64" fillId="55" borderId="106" xfId="0" applyFont="1" applyFill="1" applyBorder="1" applyAlignment="1">
      <alignment horizontal="center" wrapText="1"/>
    </xf>
    <xf numFmtId="0" fontId="41" fillId="45" borderId="65" xfId="0" applyFont="1" applyFill="1" applyBorder="1" applyAlignment="1">
      <alignment horizontal="center" vertical="center" wrapText="1"/>
    </xf>
    <xf numFmtId="0" fontId="41" fillId="45" borderId="107" xfId="0" applyFont="1" applyFill="1" applyBorder="1" applyAlignment="1">
      <alignment horizontal="center" vertical="center" wrapText="1"/>
    </xf>
    <xf numFmtId="0" fontId="64" fillId="53" borderId="0" xfId="0" applyFont="1" applyFill="1" applyBorder="1" applyAlignment="1">
      <alignment horizontal="center" wrapText="1"/>
    </xf>
    <xf numFmtId="0" fontId="64" fillId="53" borderId="108" xfId="0" applyFont="1" applyFill="1" applyBorder="1" applyAlignment="1">
      <alignment horizontal="center" wrapText="1"/>
    </xf>
    <xf numFmtId="9" fontId="64" fillId="56" borderId="79" xfId="0" applyNumberFormat="1" applyFont="1" applyFill="1" applyBorder="1" applyAlignment="1">
      <alignment horizontal="center" wrapText="1"/>
    </xf>
    <xf numFmtId="9" fontId="64" fillId="56" borderId="109" xfId="0" applyNumberFormat="1" applyFont="1" applyFill="1" applyBorder="1" applyAlignment="1">
      <alignment horizontal="center" wrapText="1"/>
    </xf>
    <xf numFmtId="0" fontId="64" fillId="54" borderId="79" xfId="0" applyFont="1" applyFill="1" applyBorder="1" applyAlignment="1">
      <alignment horizontal="center" wrapText="1"/>
    </xf>
    <xf numFmtId="0" fontId="64" fillId="54" borderId="109" xfId="0" applyFont="1" applyFill="1" applyBorder="1" applyAlignment="1">
      <alignment horizontal="center" wrapText="1"/>
    </xf>
    <xf numFmtId="0" fontId="5" fillId="78" borderId="110" xfId="0" applyFont="1" applyFill="1" applyBorder="1" applyAlignment="1">
      <alignment horizontal="center"/>
    </xf>
    <xf numFmtId="0" fontId="5" fillId="78" borderId="111" xfId="0" applyFont="1" applyFill="1" applyBorder="1" applyAlignment="1">
      <alignment horizontal="center"/>
    </xf>
    <xf numFmtId="0" fontId="5" fillId="78" borderId="112" xfId="0" applyFont="1" applyFill="1" applyBorder="1" applyAlignment="1">
      <alignment horizontal="center"/>
    </xf>
    <xf numFmtId="0" fontId="38" fillId="78" borderId="113" xfId="0" applyFont="1" applyFill="1" applyBorder="1" applyAlignment="1">
      <alignment horizontal="center"/>
    </xf>
    <xf numFmtId="0" fontId="38" fillId="78" borderId="114" xfId="0" applyFont="1" applyFill="1" applyBorder="1" applyAlignment="1">
      <alignment horizontal="center"/>
    </xf>
    <xf numFmtId="0" fontId="38" fillId="78" borderId="115" xfId="0" applyFont="1" applyFill="1" applyBorder="1" applyAlignment="1">
      <alignment horizontal="center"/>
    </xf>
    <xf numFmtId="0" fontId="40" fillId="45" borderId="116" xfId="0" applyFont="1" applyFill="1" applyBorder="1" applyAlignment="1">
      <alignment wrapText="1"/>
    </xf>
    <xf numFmtId="0" fontId="40" fillId="45" borderId="117" xfId="0" applyFont="1" applyFill="1" applyBorder="1" applyAlignment="1">
      <alignment wrapText="1"/>
    </xf>
    <xf numFmtId="0" fontId="4" fillId="44" borderId="118" xfId="0" applyFont="1" applyFill="1" applyBorder="1" applyAlignment="1">
      <alignment horizontal="center" vertical="center" wrapText="1"/>
    </xf>
    <xf numFmtId="0" fontId="4" fillId="44" borderId="119" xfId="0" applyFont="1" applyFill="1" applyBorder="1" applyAlignment="1">
      <alignment horizontal="center" vertical="center" wrapText="1"/>
    </xf>
    <xf numFmtId="0" fontId="4" fillId="44" borderId="120" xfId="0" applyFont="1" applyFill="1" applyBorder="1" applyAlignment="1">
      <alignment horizontal="center" vertical="center" wrapText="1"/>
    </xf>
    <xf numFmtId="0" fontId="4" fillId="44" borderId="121" xfId="0" applyFont="1" applyFill="1" applyBorder="1" applyAlignment="1">
      <alignment horizontal="center" vertical="center" wrapText="1"/>
    </xf>
    <xf numFmtId="0" fontId="4" fillId="79" borderId="119" xfId="0" applyFont="1" applyFill="1" applyBorder="1" applyAlignment="1">
      <alignment horizontal="center" wrapText="1"/>
    </xf>
    <xf numFmtId="0" fontId="4" fillId="80" borderId="122" xfId="0" applyFont="1" applyFill="1" applyBorder="1" applyAlignment="1">
      <alignment horizontal="center" vertical="center" wrapText="1"/>
    </xf>
    <xf numFmtId="0" fontId="4" fillId="80" borderId="59" xfId="0" applyFont="1" applyFill="1" applyBorder="1" applyAlignment="1">
      <alignment horizontal="center" vertical="center" wrapText="1"/>
    </xf>
    <xf numFmtId="0" fontId="4" fillId="80" borderId="119" xfId="0" applyFont="1" applyFill="1" applyBorder="1" applyAlignment="1">
      <alignment horizontal="center" vertical="center" wrapText="1"/>
    </xf>
    <xf numFmtId="0" fontId="4" fillId="80" borderId="123" xfId="0" applyFont="1" applyFill="1" applyBorder="1" applyAlignment="1">
      <alignment horizontal="center" vertical="center" wrapText="1"/>
    </xf>
    <xf numFmtId="0" fontId="4" fillId="80" borderId="94" xfId="0" applyFont="1" applyFill="1" applyBorder="1" applyAlignment="1">
      <alignment horizontal="center" vertical="center" wrapText="1"/>
    </xf>
    <xf numFmtId="0" fontId="4" fillId="80" borderId="121" xfId="0" applyFont="1" applyFill="1" applyBorder="1" applyAlignment="1">
      <alignment horizontal="center" vertical="center" wrapText="1"/>
    </xf>
    <xf numFmtId="0" fontId="4" fillId="81" borderId="124" xfId="0" applyFont="1" applyFill="1" applyBorder="1" applyAlignment="1">
      <alignment vertical="center" wrapText="1"/>
    </xf>
    <xf numFmtId="0" fontId="4" fillId="81" borderId="125" xfId="0" applyFont="1" applyFill="1" applyBorder="1" applyAlignment="1">
      <alignment vertical="center" wrapText="1"/>
    </xf>
    <xf numFmtId="0" fontId="4" fillId="79" borderId="121" xfId="0" applyFont="1" applyFill="1" applyBorder="1" applyAlignment="1">
      <alignment horizontal="center" wrapText="1"/>
    </xf>
    <xf numFmtId="0" fontId="20" fillId="82" borderId="126" xfId="0" applyFont="1" applyFill="1" applyBorder="1" applyAlignment="1">
      <alignment horizontal="center" vertical="center" wrapText="1"/>
    </xf>
    <xf numFmtId="0" fontId="20" fillId="82" borderId="127" xfId="0" applyFont="1" applyFill="1" applyBorder="1" applyAlignment="1">
      <alignment horizontal="center" vertical="center" wrapText="1"/>
    </xf>
    <xf numFmtId="0" fontId="20" fillId="82" borderId="128" xfId="0" applyFont="1" applyFill="1" applyBorder="1" applyAlignment="1">
      <alignment horizontal="center" vertical="center" wrapText="1"/>
    </xf>
    <xf numFmtId="0" fontId="64" fillId="0" borderId="129" xfId="0" applyFont="1" applyBorder="1" applyAlignment="1">
      <alignment horizontal="center" vertical="center" wrapText="1"/>
    </xf>
    <xf numFmtId="0" fontId="61" fillId="0" borderId="130" xfId="0" applyFont="1" applyBorder="1" applyAlignment="1">
      <alignment horizontal="center" wrapText="1"/>
    </xf>
    <xf numFmtId="0" fontId="61" fillId="0" borderId="129" xfId="0" applyFont="1" applyBorder="1" applyAlignment="1">
      <alignment horizontal="center" wrapText="1"/>
    </xf>
    <xf numFmtId="0" fontId="64" fillId="0" borderId="131" xfId="0" applyFont="1" applyBorder="1" applyAlignment="1">
      <alignment horizontal="center" vertical="center" wrapText="1"/>
    </xf>
    <xf numFmtId="0" fontId="61" fillId="0" borderId="132" xfId="0" applyFont="1" applyBorder="1" applyAlignment="1">
      <alignment wrapText="1"/>
    </xf>
    <xf numFmtId="0" fontId="61" fillId="0" borderId="133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466725</xdr:colOff>
      <xdr:row>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714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142875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3867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9</xdr:col>
      <xdr:colOff>323850</xdr:colOff>
      <xdr:row>2</xdr:row>
      <xdr:rowOff>371475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38100</xdr:rowOff>
    </xdr:from>
    <xdr:to>
      <xdr:col>9</xdr:col>
      <xdr:colOff>333375</xdr:colOff>
      <xdr:row>17</xdr:row>
      <xdr:rowOff>371475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67475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47625</xdr:rowOff>
    </xdr:from>
    <xdr:to>
      <xdr:col>9</xdr:col>
      <xdr:colOff>333375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906375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9</xdr:col>
      <xdr:colOff>390525</xdr:colOff>
      <xdr:row>2</xdr:row>
      <xdr:rowOff>381000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38100</xdr:rowOff>
    </xdr:from>
    <xdr:to>
      <xdr:col>9</xdr:col>
      <xdr:colOff>400050</xdr:colOff>
      <xdr:row>17</xdr:row>
      <xdr:rowOff>371475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67475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28575</xdr:rowOff>
    </xdr:from>
    <xdr:to>
      <xdr:col>9</xdr:col>
      <xdr:colOff>390525</xdr:colOff>
      <xdr:row>32</xdr:row>
      <xdr:rowOff>352425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887325"/>
          <a:ext cx="5410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561975</xdr:colOff>
      <xdr:row>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695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9</xdr:col>
      <xdr:colOff>390525</xdr:colOff>
      <xdr:row>2</xdr:row>
      <xdr:rowOff>371475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15</xdr:row>
      <xdr:rowOff>47625</xdr:rowOff>
    </xdr:from>
    <xdr:to>
      <xdr:col>9</xdr:col>
      <xdr:colOff>400050</xdr:colOff>
      <xdr:row>17</xdr:row>
      <xdr:rowOff>381000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77000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30</xdr:row>
      <xdr:rowOff>47625</xdr:rowOff>
    </xdr:from>
    <xdr:to>
      <xdr:col>9</xdr:col>
      <xdr:colOff>390525</xdr:colOff>
      <xdr:row>32</xdr:row>
      <xdr:rowOff>381000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906375"/>
          <a:ext cx="5410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619125</xdr:colOff>
      <xdr:row>6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572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B\AppData\Local\Microsoft\Windows\Temporary%20Internet%20Files\Content.Outlook\EW7M2XZ8\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9"/>
  <sheetViews>
    <sheetView tabSelected="1" workbookViewId="0" topLeftCell="A1">
      <selection activeCell="M27" sqref="M27"/>
    </sheetView>
  </sheetViews>
  <sheetFormatPr defaultColWidth="11.421875" defaultRowHeight="12.75"/>
  <cols>
    <col min="11" max="11" width="16.140625" style="0" bestFit="1" customWidth="1"/>
    <col min="12" max="12" width="13.8515625" style="0" bestFit="1" customWidth="1"/>
  </cols>
  <sheetData>
    <row r="1" spans="1:10" ht="12.7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3.5" thickBot="1">
      <c r="A5" s="306" t="s">
        <v>81</v>
      </c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2.75" thickBot="1">
      <c r="A6" s="259" t="s">
        <v>153</v>
      </c>
      <c r="B6" s="260"/>
      <c r="C6" s="260"/>
      <c r="D6" s="260"/>
      <c r="E6" s="260"/>
      <c r="F6" s="260"/>
      <c r="G6" s="260"/>
      <c r="H6" s="260"/>
      <c r="I6" s="260"/>
      <c r="J6" s="261"/>
    </row>
    <row r="7" spans="1:10" ht="12.75" thickBot="1">
      <c r="A7" s="310" t="s">
        <v>235</v>
      </c>
      <c r="B7" s="311"/>
      <c r="C7" s="311"/>
      <c r="D7" s="312"/>
      <c r="E7" s="312"/>
      <c r="F7" s="312"/>
      <c r="G7" s="312"/>
      <c r="H7" s="312"/>
      <c r="I7" s="312"/>
      <c r="J7" s="313"/>
    </row>
    <row r="8" spans="1:10" ht="8.25" customHeight="1" hidden="1" thickBot="1">
      <c r="A8" s="280" t="s">
        <v>18</v>
      </c>
      <c r="B8" s="281"/>
      <c r="C8" s="281"/>
      <c r="D8" s="281"/>
      <c r="E8" s="282"/>
      <c r="F8" s="282"/>
      <c r="G8" s="282"/>
      <c r="H8" s="282"/>
      <c r="I8" s="282"/>
      <c r="J8" s="283"/>
    </row>
    <row r="9" spans="1:10" ht="18" customHeight="1">
      <c r="A9" s="307" t="s">
        <v>206</v>
      </c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277" t="s">
        <v>207</v>
      </c>
      <c r="B10" s="278"/>
      <c r="C10" s="278"/>
      <c r="D10" s="278"/>
      <c r="E10" s="278"/>
      <c r="F10" s="278"/>
      <c r="G10" s="278"/>
      <c r="H10" s="278"/>
      <c r="I10" s="278"/>
      <c r="J10" s="279"/>
    </row>
    <row r="11" spans="1:10" ht="12.75" customHeight="1">
      <c r="A11" s="277" t="s">
        <v>325</v>
      </c>
      <c r="B11" s="278"/>
      <c r="C11" s="278"/>
      <c r="D11" s="278"/>
      <c r="E11" s="278"/>
      <c r="F11" s="278"/>
      <c r="G11" s="278"/>
      <c r="H11" s="278"/>
      <c r="I11" s="278"/>
      <c r="J11" s="279"/>
    </row>
    <row r="12" spans="1:10" ht="12">
      <c r="A12" s="277"/>
      <c r="B12" s="278"/>
      <c r="C12" s="278"/>
      <c r="D12" s="278"/>
      <c r="E12" s="278"/>
      <c r="F12" s="278"/>
      <c r="G12" s="278"/>
      <c r="H12" s="278"/>
      <c r="I12" s="278"/>
      <c r="J12" s="279"/>
    </row>
    <row r="13" spans="1:10" ht="15" customHeight="1">
      <c r="A13" s="277" t="s">
        <v>237</v>
      </c>
      <c r="B13" s="278"/>
      <c r="C13" s="278"/>
      <c r="D13" s="278"/>
      <c r="E13" s="278"/>
      <c r="F13" s="278"/>
      <c r="G13" s="278"/>
      <c r="H13" s="278"/>
      <c r="I13" s="278"/>
      <c r="J13" s="279"/>
    </row>
    <row r="14" spans="1:10" ht="12">
      <c r="A14" s="277" t="s">
        <v>208</v>
      </c>
      <c r="B14" s="278"/>
      <c r="C14" s="278"/>
      <c r="D14" s="278"/>
      <c r="E14" s="278"/>
      <c r="F14" s="278"/>
      <c r="G14" s="278"/>
      <c r="H14" s="278"/>
      <c r="I14" s="278"/>
      <c r="J14" s="279"/>
    </row>
    <row r="15" spans="1:10" ht="12">
      <c r="A15" s="277" t="s">
        <v>326</v>
      </c>
      <c r="B15" s="278"/>
      <c r="C15" s="278"/>
      <c r="D15" s="278"/>
      <c r="E15" s="278"/>
      <c r="F15" s="278"/>
      <c r="G15" s="278"/>
      <c r="H15" s="278"/>
      <c r="I15" s="278"/>
      <c r="J15" s="279"/>
    </row>
    <row r="16" spans="1:10" ht="12">
      <c r="A16" s="277" t="s">
        <v>327</v>
      </c>
      <c r="B16" s="278"/>
      <c r="C16" s="278"/>
      <c r="D16" s="278"/>
      <c r="E16" s="278"/>
      <c r="F16" s="278"/>
      <c r="G16" s="278"/>
      <c r="H16" s="278"/>
      <c r="I16" s="278"/>
      <c r="J16" s="279"/>
    </row>
    <row r="17" spans="1:10" ht="12">
      <c r="A17" s="277" t="s">
        <v>19</v>
      </c>
      <c r="B17" s="278"/>
      <c r="C17" s="278"/>
      <c r="D17" s="278"/>
      <c r="E17" s="278"/>
      <c r="F17" s="278"/>
      <c r="G17" s="278"/>
      <c r="H17" s="278"/>
      <c r="I17" s="278"/>
      <c r="J17" s="279"/>
    </row>
    <row r="18" spans="1:10" ht="12">
      <c r="A18" s="277" t="s">
        <v>328</v>
      </c>
      <c r="B18" s="278"/>
      <c r="C18" s="278"/>
      <c r="D18" s="278"/>
      <c r="E18" s="278"/>
      <c r="F18" s="278"/>
      <c r="G18" s="278"/>
      <c r="H18" s="278"/>
      <c r="I18" s="278"/>
      <c r="J18" s="279"/>
    </row>
    <row r="19" spans="1:10" ht="12">
      <c r="A19" s="277"/>
      <c r="B19" s="302"/>
      <c r="C19" s="302"/>
      <c r="D19" s="302"/>
      <c r="E19" s="302"/>
      <c r="F19" s="302"/>
      <c r="G19" s="302"/>
      <c r="H19" s="302"/>
      <c r="I19" s="302"/>
      <c r="J19" s="270"/>
    </row>
    <row r="20" spans="1:10" ht="12">
      <c r="A20" s="277"/>
      <c r="B20" s="278"/>
      <c r="C20" s="278"/>
      <c r="D20" s="278"/>
      <c r="E20" s="278"/>
      <c r="F20" s="278"/>
      <c r="G20" s="278"/>
      <c r="H20" s="278"/>
      <c r="I20" s="278"/>
      <c r="J20" s="279"/>
    </row>
    <row r="21" spans="1:10" ht="12">
      <c r="A21" s="277" t="s">
        <v>238</v>
      </c>
      <c r="B21" s="278"/>
      <c r="C21" s="278"/>
      <c r="D21" s="278"/>
      <c r="E21" s="278"/>
      <c r="F21" s="278"/>
      <c r="G21" s="278"/>
      <c r="H21" s="278"/>
      <c r="I21" s="278"/>
      <c r="J21" s="279"/>
    </row>
    <row r="22" spans="1:10" ht="12">
      <c r="A22" s="277"/>
      <c r="B22" s="278"/>
      <c r="C22" s="278"/>
      <c r="D22" s="278"/>
      <c r="E22" s="278"/>
      <c r="F22" s="278"/>
      <c r="G22" s="278"/>
      <c r="H22" s="278"/>
      <c r="I22" s="278"/>
      <c r="J22" s="279"/>
    </row>
    <row r="23" spans="1:10" ht="12">
      <c r="A23" s="277" t="s">
        <v>209</v>
      </c>
      <c r="B23" s="278"/>
      <c r="C23" s="278"/>
      <c r="D23" s="278"/>
      <c r="E23" s="278"/>
      <c r="F23" s="278"/>
      <c r="G23" s="278"/>
      <c r="H23" s="278"/>
      <c r="I23" s="278"/>
      <c r="J23" s="279"/>
    </row>
    <row r="24" spans="1:10" ht="12">
      <c r="A24" s="277" t="s">
        <v>329</v>
      </c>
      <c r="B24" s="278"/>
      <c r="C24" s="278"/>
      <c r="D24" s="278"/>
      <c r="E24" s="278"/>
      <c r="F24" s="278"/>
      <c r="G24" s="278"/>
      <c r="H24" s="278"/>
      <c r="I24" s="278"/>
      <c r="J24" s="279"/>
    </row>
    <row r="25" spans="1:10" ht="12">
      <c r="A25" s="277"/>
      <c r="B25" s="278"/>
      <c r="C25" s="278"/>
      <c r="D25" s="278"/>
      <c r="E25" s="278"/>
      <c r="F25" s="278"/>
      <c r="G25" s="278"/>
      <c r="H25" s="278"/>
      <c r="I25" s="278"/>
      <c r="J25" s="279"/>
    </row>
    <row r="26" spans="1:10" ht="12">
      <c r="A26" s="287" t="s">
        <v>234</v>
      </c>
      <c r="B26" s="278"/>
      <c r="C26" s="278"/>
      <c r="D26" s="278"/>
      <c r="E26" s="278"/>
      <c r="F26" s="278"/>
      <c r="G26" s="278"/>
      <c r="H26" s="278"/>
      <c r="I26" s="278"/>
      <c r="J26" s="279"/>
    </row>
    <row r="27" spans="1:10" ht="12">
      <c r="A27" s="277" t="s">
        <v>210</v>
      </c>
      <c r="B27" s="278"/>
      <c r="C27" s="278"/>
      <c r="D27" s="278"/>
      <c r="E27" s="278"/>
      <c r="F27" s="278"/>
      <c r="G27" s="278"/>
      <c r="H27" s="278"/>
      <c r="I27" s="278"/>
      <c r="J27" s="279"/>
    </row>
    <row r="28" spans="1:10" s="16" customFormat="1" ht="12">
      <c r="A28" s="277"/>
      <c r="B28" s="278"/>
      <c r="C28" s="278"/>
      <c r="D28" s="278"/>
      <c r="E28" s="278"/>
      <c r="F28" s="278"/>
      <c r="G28" s="278"/>
      <c r="H28" s="278"/>
      <c r="I28" s="278"/>
      <c r="J28" s="279"/>
    </row>
    <row r="29" spans="1:10" s="16" customFormat="1" ht="12">
      <c r="A29" s="287" t="s">
        <v>215</v>
      </c>
      <c r="B29" s="278"/>
      <c r="C29" s="278"/>
      <c r="D29" s="278"/>
      <c r="E29" s="278"/>
      <c r="F29" s="278"/>
      <c r="G29" s="278"/>
      <c r="H29" s="278"/>
      <c r="I29" s="278"/>
      <c r="J29" s="279"/>
    </row>
    <row r="30" spans="1:10" s="16" customFormat="1" ht="12.75" thickBot="1">
      <c r="A30" s="284" t="s">
        <v>211</v>
      </c>
      <c r="B30" s="285"/>
      <c r="C30" s="285"/>
      <c r="D30" s="285"/>
      <c r="E30" s="285"/>
      <c r="F30" s="285"/>
      <c r="G30" s="285"/>
      <c r="H30" s="285"/>
      <c r="I30" s="285"/>
      <c r="J30" s="286"/>
    </row>
    <row r="31" spans="1:10" s="16" customFormat="1" ht="12.75" thickBot="1">
      <c r="A31" s="288" t="s">
        <v>20</v>
      </c>
      <c r="B31" s="289"/>
      <c r="C31" s="289"/>
      <c r="D31" s="289"/>
      <c r="E31" s="289"/>
      <c r="F31" s="289"/>
      <c r="G31" s="289"/>
      <c r="H31" s="289"/>
      <c r="I31" s="289"/>
      <c r="J31" s="290"/>
    </row>
    <row r="32" spans="1:10" s="16" customFormat="1" ht="12">
      <c r="A32" s="291" t="s">
        <v>214</v>
      </c>
      <c r="B32" s="292"/>
      <c r="C32" s="292"/>
      <c r="D32" s="292"/>
      <c r="E32" s="293"/>
      <c r="F32" s="293"/>
      <c r="G32" s="293"/>
      <c r="H32" s="293"/>
      <c r="I32" s="293"/>
      <c r="J32" s="294"/>
    </row>
    <row r="33" spans="1:10" s="16" customFormat="1" ht="12">
      <c r="A33" s="291" t="s">
        <v>213</v>
      </c>
      <c r="B33" s="292"/>
      <c r="C33" s="292"/>
      <c r="D33" s="292"/>
      <c r="E33" s="293"/>
      <c r="F33" s="293"/>
      <c r="G33" s="293"/>
      <c r="H33" s="293"/>
      <c r="I33" s="293"/>
      <c r="J33" s="294"/>
    </row>
    <row r="34" spans="1:10" s="16" customFormat="1" ht="12.75" thickBot="1">
      <c r="A34" s="291" t="s">
        <v>212</v>
      </c>
      <c r="B34" s="292"/>
      <c r="C34" s="292"/>
      <c r="D34" s="292"/>
      <c r="E34" s="293"/>
      <c r="F34" s="293"/>
      <c r="G34" s="293"/>
      <c r="H34" s="293"/>
      <c r="I34" s="293"/>
      <c r="J34" s="294"/>
    </row>
    <row r="35" spans="1:10" s="16" customFormat="1" ht="12.75" thickBot="1">
      <c r="A35" s="295" t="s">
        <v>155</v>
      </c>
      <c r="B35" s="296"/>
      <c r="C35" s="296"/>
      <c r="D35" s="297"/>
      <c r="E35" s="297"/>
      <c r="F35" s="297"/>
      <c r="G35" s="297"/>
      <c r="H35" s="297"/>
      <c r="I35" s="297"/>
      <c r="J35" s="298"/>
    </row>
    <row r="36" spans="1:10" s="16" customFormat="1" ht="13.5" thickBot="1">
      <c r="A36" s="274" t="s">
        <v>236</v>
      </c>
      <c r="B36" s="275"/>
      <c r="C36" s="275"/>
      <c r="D36" s="275"/>
      <c r="E36" s="275"/>
      <c r="F36" s="275"/>
      <c r="G36" s="275"/>
      <c r="H36" s="275"/>
      <c r="I36" s="275"/>
      <c r="J36" s="276"/>
    </row>
    <row r="37" spans="1:10" s="16" customFormat="1" ht="12.75" thickBot="1">
      <c r="A37" s="295" t="s">
        <v>154</v>
      </c>
      <c r="B37" s="296"/>
      <c r="C37" s="296"/>
      <c r="D37" s="297"/>
      <c r="E37" s="297"/>
      <c r="F37" s="297"/>
      <c r="G37" s="297"/>
      <c r="H37" s="297"/>
      <c r="I37" s="297"/>
      <c r="J37" s="298"/>
    </row>
    <row r="38" spans="1:10" s="16" customFormat="1" ht="12">
      <c r="A38" s="299" t="s">
        <v>239</v>
      </c>
      <c r="B38" s="300"/>
      <c r="C38" s="300"/>
      <c r="D38" s="300"/>
      <c r="E38" s="300"/>
      <c r="F38" s="300"/>
      <c r="G38" s="300"/>
      <c r="H38" s="300"/>
      <c r="I38" s="300"/>
      <c r="J38" s="301"/>
    </row>
    <row r="39" spans="1:10" s="16" customFormat="1" ht="12">
      <c r="A39" s="268" t="s">
        <v>186</v>
      </c>
      <c r="B39" s="269"/>
      <c r="C39" s="269"/>
      <c r="D39" s="269"/>
      <c r="E39" s="269"/>
      <c r="F39" s="269"/>
      <c r="G39" s="269"/>
      <c r="H39" s="269"/>
      <c r="I39" s="269"/>
      <c r="J39" s="270"/>
    </row>
    <row r="40" spans="1:10" s="16" customFormat="1" ht="12">
      <c r="A40" s="268" t="s">
        <v>301</v>
      </c>
      <c r="B40" s="269"/>
      <c r="C40" s="269"/>
      <c r="D40" s="269"/>
      <c r="E40" s="269"/>
      <c r="F40" s="269"/>
      <c r="G40" s="269"/>
      <c r="H40" s="269"/>
      <c r="I40" s="269"/>
      <c r="J40" s="270"/>
    </row>
    <row r="41" spans="1:10" s="16" customFormat="1" ht="12">
      <c r="A41" s="268" t="s">
        <v>186</v>
      </c>
      <c r="B41" s="269"/>
      <c r="C41" s="269"/>
      <c r="D41" s="269"/>
      <c r="E41" s="269"/>
      <c r="F41" s="269"/>
      <c r="G41" s="269"/>
      <c r="H41" s="269"/>
      <c r="I41" s="269"/>
      <c r="J41" s="270"/>
    </row>
    <row r="42" spans="1:10" s="16" customFormat="1" ht="12">
      <c r="A42" s="268" t="s">
        <v>187</v>
      </c>
      <c r="B42" s="269"/>
      <c r="C42" s="269"/>
      <c r="D42" s="269"/>
      <c r="E42" s="269"/>
      <c r="F42" s="269"/>
      <c r="G42" s="269"/>
      <c r="H42" s="269"/>
      <c r="I42" s="269"/>
      <c r="J42" s="270"/>
    </row>
    <row r="43" spans="1:10" s="16" customFormat="1" ht="12">
      <c r="A43" s="271" t="s">
        <v>188</v>
      </c>
      <c r="B43" s="272"/>
      <c r="C43" s="272"/>
      <c r="D43" s="272"/>
      <c r="E43" s="272"/>
      <c r="F43" s="272"/>
      <c r="G43" s="272"/>
      <c r="H43" s="272"/>
      <c r="I43" s="272"/>
      <c r="J43" s="273"/>
    </row>
    <row r="44" spans="1:10" ht="12.75" customHeight="1">
      <c r="A44" s="303" t="s">
        <v>189</v>
      </c>
      <c r="B44" s="304"/>
      <c r="C44" s="304"/>
      <c r="D44" s="304"/>
      <c r="E44" s="304"/>
      <c r="F44" s="304"/>
      <c r="G44" s="304"/>
      <c r="H44" s="304"/>
      <c r="I44" s="304"/>
      <c r="J44" s="305"/>
    </row>
    <row r="45" spans="1:10" ht="12.75" customHeight="1">
      <c r="A45" s="268" t="s">
        <v>190</v>
      </c>
      <c r="B45" s="269"/>
      <c r="C45" s="269"/>
      <c r="D45" s="269"/>
      <c r="E45" s="269"/>
      <c r="F45" s="269"/>
      <c r="G45" s="269"/>
      <c r="H45" s="269"/>
      <c r="I45" s="269"/>
      <c r="J45" s="270"/>
    </row>
    <row r="46" spans="1:10" ht="12.75" customHeight="1">
      <c r="A46" s="303" t="s">
        <v>191</v>
      </c>
      <c r="B46" s="304"/>
      <c r="C46" s="304"/>
      <c r="D46" s="304"/>
      <c r="E46" s="304"/>
      <c r="F46" s="304"/>
      <c r="G46" s="304"/>
      <c r="H46" s="304"/>
      <c r="I46" s="304"/>
      <c r="J46" s="305"/>
    </row>
    <row r="47" spans="1:13" ht="15.75" customHeight="1">
      <c r="A47" s="268" t="s">
        <v>192</v>
      </c>
      <c r="B47" s="269"/>
      <c r="C47" s="269"/>
      <c r="D47" s="269"/>
      <c r="E47" s="269"/>
      <c r="F47" s="269"/>
      <c r="G47" s="269"/>
      <c r="H47" s="269"/>
      <c r="I47" s="269"/>
      <c r="J47" s="270"/>
      <c r="K47" s="5"/>
      <c r="L47" s="5"/>
      <c r="M47" s="4"/>
    </row>
    <row r="48" spans="1:13" ht="14.25" customHeight="1">
      <c r="A48" s="268" t="s">
        <v>193</v>
      </c>
      <c r="B48" s="269"/>
      <c r="C48" s="269"/>
      <c r="D48" s="269"/>
      <c r="E48" s="269"/>
      <c r="F48" s="269"/>
      <c r="G48" s="269"/>
      <c r="H48" s="269"/>
      <c r="I48" s="269"/>
      <c r="J48" s="270"/>
      <c r="K48" s="5"/>
      <c r="L48" s="5"/>
      <c r="M48" s="4"/>
    </row>
    <row r="49" spans="1:13" ht="18.75" customHeight="1">
      <c r="A49" s="268" t="s">
        <v>194</v>
      </c>
      <c r="B49" s="269"/>
      <c r="C49" s="269"/>
      <c r="D49" s="269"/>
      <c r="E49" s="269"/>
      <c r="F49" s="269"/>
      <c r="G49" s="269"/>
      <c r="H49" s="269"/>
      <c r="I49" s="269"/>
      <c r="J49" s="270"/>
      <c r="K49" s="5"/>
      <c r="L49" s="5"/>
      <c r="M49" s="4"/>
    </row>
    <row r="50" spans="1:10" ht="12.75" customHeight="1">
      <c r="A50" s="268" t="s">
        <v>195</v>
      </c>
      <c r="B50" s="269"/>
      <c r="C50" s="269"/>
      <c r="D50" s="269"/>
      <c r="E50" s="269"/>
      <c r="F50" s="269"/>
      <c r="G50" s="269"/>
      <c r="H50" s="269"/>
      <c r="I50" s="269"/>
      <c r="J50" s="270"/>
    </row>
    <row r="51" spans="1:10" ht="12.75" customHeight="1">
      <c r="A51" s="303" t="s">
        <v>196</v>
      </c>
      <c r="B51" s="304"/>
      <c r="C51" s="304"/>
      <c r="D51" s="304"/>
      <c r="E51" s="304"/>
      <c r="F51" s="304"/>
      <c r="G51" s="304"/>
      <c r="H51" s="304"/>
      <c r="I51" s="304"/>
      <c r="J51" s="305"/>
    </row>
    <row r="52" spans="1:10" ht="12.75" customHeight="1">
      <c r="A52" s="268" t="s">
        <v>197</v>
      </c>
      <c r="B52" s="269"/>
      <c r="C52" s="269"/>
      <c r="D52" s="269"/>
      <c r="E52" s="269"/>
      <c r="F52" s="269"/>
      <c r="G52" s="269"/>
      <c r="H52" s="269"/>
      <c r="I52" s="269"/>
      <c r="J52" s="270"/>
    </row>
    <row r="53" spans="1:14" ht="15.75">
      <c r="A53" s="268" t="s">
        <v>198</v>
      </c>
      <c r="B53" s="269"/>
      <c r="C53" s="269"/>
      <c r="D53" s="269"/>
      <c r="E53" s="269"/>
      <c r="F53" s="269"/>
      <c r="G53" s="269"/>
      <c r="H53" s="269"/>
      <c r="I53" s="269"/>
      <c r="J53" s="270"/>
      <c r="K53" s="3"/>
      <c r="L53" s="3"/>
      <c r="M53" s="3"/>
      <c r="N53" s="3"/>
    </row>
    <row r="54" spans="1:14" ht="15" customHeight="1">
      <c r="A54" s="268" t="s">
        <v>199</v>
      </c>
      <c r="B54" s="269"/>
      <c r="C54" s="269"/>
      <c r="D54" s="269"/>
      <c r="E54" s="269"/>
      <c r="F54" s="269"/>
      <c r="G54" s="269"/>
      <c r="H54" s="269"/>
      <c r="I54" s="269"/>
      <c r="J54" s="270"/>
      <c r="K54" s="3"/>
      <c r="L54" s="3"/>
      <c r="M54" s="3"/>
      <c r="N54" s="3"/>
    </row>
    <row r="55" spans="1:10" ht="15" customHeight="1">
      <c r="A55" s="303" t="s">
        <v>200</v>
      </c>
      <c r="B55" s="304"/>
      <c r="C55" s="304"/>
      <c r="D55" s="304"/>
      <c r="E55" s="304"/>
      <c r="F55" s="304"/>
      <c r="G55" s="304"/>
      <c r="H55" s="304"/>
      <c r="I55" s="304"/>
      <c r="J55" s="305"/>
    </row>
    <row r="56" spans="1:14" ht="15.75">
      <c r="A56" s="268" t="s">
        <v>201</v>
      </c>
      <c r="B56" s="269"/>
      <c r="C56" s="269"/>
      <c r="D56" s="269"/>
      <c r="E56" s="269"/>
      <c r="F56" s="269"/>
      <c r="G56" s="269"/>
      <c r="H56" s="269"/>
      <c r="I56" s="269"/>
      <c r="J56" s="270"/>
      <c r="K56" s="3"/>
      <c r="L56" s="3"/>
      <c r="M56" s="3"/>
      <c r="N56" s="3"/>
    </row>
    <row r="57" spans="1:14" ht="15.75">
      <c r="A57" s="268" t="s">
        <v>202</v>
      </c>
      <c r="B57" s="269"/>
      <c r="C57" s="269"/>
      <c r="D57" s="269"/>
      <c r="E57" s="269"/>
      <c r="F57" s="269"/>
      <c r="G57" s="269"/>
      <c r="H57" s="269"/>
      <c r="I57" s="269"/>
      <c r="J57" s="270"/>
      <c r="K57" s="3"/>
      <c r="L57" s="3"/>
      <c r="M57" s="3"/>
      <c r="N57" s="3"/>
    </row>
    <row r="58" spans="1:14" ht="15.75">
      <c r="A58" s="268" t="s">
        <v>203</v>
      </c>
      <c r="B58" s="269"/>
      <c r="C58" s="269"/>
      <c r="D58" s="269"/>
      <c r="E58" s="269"/>
      <c r="F58" s="269"/>
      <c r="G58" s="269"/>
      <c r="H58" s="269"/>
      <c r="I58" s="269"/>
      <c r="J58" s="270"/>
      <c r="K58" s="3"/>
      <c r="L58" s="3"/>
      <c r="M58" s="3"/>
      <c r="N58" s="3"/>
    </row>
    <row r="59" spans="1:14" ht="15.75">
      <c r="A59" s="268" t="s">
        <v>204</v>
      </c>
      <c r="B59" s="269"/>
      <c r="C59" s="269"/>
      <c r="D59" s="269"/>
      <c r="E59" s="269"/>
      <c r="F59" s="269"/>
      <c r="G59" s="269"/>
      <c r="H59" s="269"/>
      <c r="I59" s="269"/>
      <c r="J59" s="270"/>
      <c r="K59" s="3"/>
      <c r="L59" s="3"/>
      <c r="M59" s="3"/>
      <c r="N59" s="3"/>
    </row>
    <row r="60" spans="1:14" ht="16.5" thickBot="1">
      <c r="A60" s="335" t="s">
        <v>205</v>
      </c>
      <c r="B60" s="269"/>
      <c r="C60" s="269"/>
      <c r="D60" s="269"/>
      <c r="E60" s="269"/>
      <c r="F60" s="269"/>
      <c r="G60" s="269"/>
      <c r="H60" s="269"/>
      <c r="I60" s="269"/>
      <c r="J60" s="270"/>
      <c r="K60" s="3"/>
      <c r="L60" s="3"/>
      <c r="M60" s="3"/>
      <c r="N60" s="3"/>
    </row>
    <row r="61" spans="1:14" ht="16.5" thickBot="1">
      <c r="A61" s="255" t="s">
        <v>240</v>
      </c>
      <c r="B61" s="256"/>
      <c r="C61" s="256"/>
      <c r="D61" s="257"/>
      <c r="E61" s="257"/>
      <c r="F61" s="257"/>
      <c r="G61" s="257"/>
      <c r="H61" s="257"/>
      <c r="I61" s="257"/>
      <c r="J61" s="258"/>
      <c r="K61" s="3"/>
      <c r="L61" s="3"/>
      <c r="M61" s="3"/>
      <c r="N61" s="3"/>
    </row>
    <row r="62" spans="1:14" ht="16.5" thickBot="1">
      <c r="A62" s="342" t="s">
        <v>290</v>
      </c>
      <c r="B62" s="346"/>
      <c r="C62" s="347" t="s">
        <v>291</v>
      </c>
      <c r="D62" s="343"/>
      <c r="E62" s="344"/>
      <c r="F62" s="348"/>
      <c r="G62" s="342" t="s">
        <v>292</v>
      </c>
      <c r="H62" s="343"/>
      <c r="I62" s="344"/>
      <c r="J62" s="345"/>
      <c r="K62" s="205" t="s">
        <v>312</v>
      </c>
      <c r="L62" s="206" t="s">
        <v>313</v>
      </c>
      <c r="M62" s="3"/>
      <c r="N62" s="3"/>
    </row>
    <row r="63" spans="1:14" ht="15" customHeight="1">
      <c r="A63" s="317" t="s">
        <v>158</v>
      </c>
      <c r="B63" s="318"/>
      <c r="C63" s="329" t="s">
        <v>314</v>
      </c>
      <c r="D63" s="330"/>
      <c r="E63" s="330"/>
      <c r="F63" s="331"/>
      <c r="G63" s="262" t="s">
        <v>293</v>
      </c>
      <c r="H63" s="263"/>
      <c r="I63" s="263"/>
      <c r="J63" s="264"/>
      <c r="K63" s="207" t="s">
        <v>315</v>
      </c>
      <c r="L63" s="208">
        <v>1</v>
      </c>
      <c r="M63" s="3"/>
      <c r="N63" s="3"/>
    </row>
    <row r="64" spans="1:14" ht="15.75" customHeight="1">
      <c r="A64" s="319" t="s">
        <v>316</v>
      </c>
      <c r="B64" s="320"/>
      <c r="C64" s="332" t="s">
        <v>156</v>
      </c>
      <c r="D64" s="333"/>
      <c r="E64" s="333"/>
      <c r="F64" s="334"/>
      <c r="G64" s="265" t="s">
        <v>295</v>
      </c>
      <c r="H64" s="266"/>
      <c r="I64" s="266"/>
      <c r="J64" s="267"/>
      <c r="K64" s="209" t="s">
        <v>317</v>
      </c>
      <c r="L64" s="208">
        <v>1</v>
      </c>
      <c r="M64" s="3"/>
      <c r="N64" s="3"/>
    </row>
    <row r="65" spans="1:14" ht="15.75">
      <c r="A65" s="321" t="s">
        <v>159</v>
      </c>
      <c r="B65" s="322"/>
      <c r="C65" s="332" t="s">
        <v>157</v>
      </c>
      <c r="D65" s="333"/>
      <c r="E65" s="333"/>
      <c r="F65" s="334"/>
      <c r="G65" s="265" t="s">
        <v>296</v>
      </c>
      <c r="H65" s="266"/>
      <c r="I65" s="266"/>
      <c r="J65" s="267"/>
      <c r="K65" s="209">
        <v>1</v>
      </c>
      <c r="L65" s="208">
        <v>1</v>
      </c>
      <c r="M65" s="3"/>
      <c r="N65" s="3"/>
    </row>
    <row r="66" spans="1:14" ht="15.75">
      <c r="A66" s="323" t="s">
        <v>318</v>
      </c>
      <c r="B66" s="324"/>
      <c r="C66" s="336" t="s">
        <v>319</v>
      </c>
      <c r="D66" s="337"/>
      <c r="E66" s="337"/>
      <c r="F66" s="338"/>
      <c r="G66" s="339" t="s">
        <v>320</v>
      </c>
      <c r="H66" s="340"/>
      <c r="I66" s="340"/>
      <c r="J66" s="341"/>
      <c r="K66" s="207" t="s">
        <v>43</v>
      </c>
      <c r="L66" s="208">
        <v>0.9</v>
      </c>
      <c r="M66" s="3"/>
      <c r="N66" s="3"/>
    </row>
    <row r="67" spans="1:14" ht="15.75">
      <c r="A67" s="325" t="s">
        <v>321</v>
      </c>
      <c r="B67" s="326"/>
      <c r="C67" s="332" t="s">
        <v>322</v>
      </c>
      <c r="D67" s="333"/>
      <c r="E67" s="333"/>
      <c r="F67" s="334"/>
      <c r="G67" s="265" t="s">
        <v>294</v>
      </c>
      <c r="H67" s="266"/>
      <c r="I67" s="266"/>
      <c r="J67" s="267"/>
      <c r="K67" s="209">
        <v>0.75</v>
      </c>
      <c r="L67" s="208">
        <v>0.8</v>
      </c>
      <c r="M67" s="3"/>
      <c r="N67" s="3"/>
    </row>
    <row r="68" spans="1:14" ht="16.5" thickBot="1">
      <c r="A68" s="327" t="s">
        <v>323</v>
      </c>
      <c r="B68" s="328"/>
      <c r="C68" s="314" t="s">
        <v>324</v>
      </c>
      <c r="D68" s="315"/>
      <c r="E68" s="315"/>
      <c r="F68" s="316"/>
      <c r="G68" s="252" t="s">
        <v>294</v>
      </c>
      <c r="H68" s="253"/>
      <c r="I68" s="253"/>
      <c r="J68" s="254"/>
      <c r="K68" s="210">
        <v>0.7</v>
      </c>
      <c r="L68" s="211">
        <v>0.7</v>
      </c>
      <c r="M68" s="3"/>
      <c r="N68" s="3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1:14" ht="15.75">
      <c r="K74" s="3"/>
      <c r="L74" s="3"/>
      <c r="M74" s="3"/>
      <c r="N74" s="3"/>
    </row>
    <row r="75" spans="11:14" ht="15.75">
      <c r="K75" s="3"/>
      <c r="L75" s="3"/>
      <c r="M75" s="3"/>
      <c r="N75" s="3"/>
    </row>
    <row r="76" spans="11:14" ht="15.75">
      <c r="K76" s="3"/>
      <c r="L76" s="3"/>
      <c r="M76" s="3"/>
      <c r="N76" s="3"/>
    </row>
    <row r="77" spans="11:14" ht="15.75">
      <c r="K77" s="3"/>
      <c r="L77" s="3"/>
      <c r="M77" s="3"/>
      <c r="N77" s="3"/>
    </row>
    <row r="78" spans="11:14" ht="15.75">
      <c r="K78" s="3"/>
      <c r="L78" s="3"/>
      <c r="M78" s="3"/>
      <c r="N78" s="3"/>
    </row>
    <row r="79" spans="11:14" ht="15.75">
      <c r="K79" s="3"/>
      <c r="L79" s="3"/>
      <c r="M79" s="3"/>
      <c r="N79" s="3"/>
    </row>
    <row r="80" spans="11:14" ht="15.75">
      <c r="K80" s="3"/>
      <c r="L80" s="3"/>
      <c r="M80" s="3"/>
      <c r="N80" s="3"/>
    </row>
    <row r="81" spans="11:14" ht="15.75">
      <c r="K81" s="3"/>
      <c r="L81" s="3"/>
      <c r="M81" s="3"/>
      <c r="N81" s="3"/>
    </row>
    <row r="82" spans="11:14" ht="15.75">
      <c r="K82" s="3"/>
      <c r="L82" s="3"/>
      <c r="M82" s="3"/>
      <c r="N82" s="3"/>
    </row>
    <row r="83" spans="11:14" ht="15.75">
      <c r="K83" s="8"/>
      <c r="L83" s="3"/>
      <c r="M83" s="3"/>
      <c r="N83" s="3"/>
    </row>
    <row r="84" spans="11:14" ht="15.75">
      <c r="K84" s="7"/>
      <c r="L84" s="3"/>
      <c r="M84" s="3"/>
      <c r="N84" s="3"/>
    </row>
    <row r="85" spans="11:14" ht="15.75">
      <c r="K85" s="7"/>
      <c r="L85" s="3"/>
      <c r="M85" s="3"/>
      <c r="N85" s="3"/>
    </row>
    <row r="86" spans="11:14" ht="13.5" customHeight="1">
      <c r="K86" s="3"/>
      <c r="L86" s="3"/>
      <c r="M86" s="3"/>
      <c r="N86" s="3"/>
    </row>
    <row r="87" spans="11:14" ht="15.75">
      <c r="K87" s="3"/>
      <c r="L87" s="3"/>
      <c r="M87" s="3"/>
      <c r="N87" s="3"/>
    </row>
    <row r="88" spans="11:14" ht="11.25" customHeight="1">
      <c r="K88" s="3"/>
      <c r="L88" s="3"/>
      <c r="M88" s="3"/>
      <c r="N88" s="3"/>
    </row>
    <row r="89" spans="11:14" ht="15" customHeight="1">
      <c r="K89" s="3"/>
      <c r="L89" s="3"/>
      <c r="M89" s="3"/>
      <c r="N89" s="3"/>
    </row>
    <row r="90" spans="11:14" ht="15" customHeight="1">
      <c r="K90" s="3"/>
      <c r="L90" s="3"/>
      <c r="M90" s="3"/>
      <c r="N90" s="3"/>
    </row>
    <row r="91" spans="11:14" ht="15.75">
      <c r="K91" s="3"/>
      <c r="L91" s="3"/>
      <c r="M91" s="3"/>
      <c r="N91" s="3"/>
    </row>
    <row r="92" spans="11:14" ht="15.75">
      <c r="K92" s="3"/>
      <c r="L92" s="3"/>
      <c r="M92" s="3"/>
      <c r="N92" s="3"/>
    </row>
    <row r="93" spans="11:14" ht="15.75">
      <c r="K93" s="3"/>
      <c r="L93" s="3"/>
      <c r="M93" s="3"/>
      <c r="N93" s="3"/>
    </row>
    <row r="94" spans="11:14" ht="27.75" customHeight="1">
      <c r="K94" s="3"/>
      <c r="L94" s="3"/>
      <c r="M94" s="3"/>
      <c r="N94" s="3"/>
    </row>
    <row r="95" spans="11:14" ht="15.75">
      <c r="K95" s="3"/>
      <c r="L95" s="3"/>
      <c r="M95" s="3"/>
      <c r="N95" s="3"/>
    </row>
    <row r="96" spans="11:14" ht="15.75">
      <c r="K96" s="3"/>
      <c r="L96" s="3"/>
      <c r="M96" s="3"/>
      <c r="N96" s="3"/>
    </row>
    <row r="97" spans="11:14" ht="15.75">
      <c r="K97" s="10"/>
      <c r="L97" s="3"/>
      <c r="M97" s="3"/>
      <c r="N97" s="3"/>
    </row>
    <row r="98" ht="15.75">
      <c r="K98" s="10"/>
    </row>
    <row r="99" ht="12.75" customHeight="1">
      <c r="K99" s="9"/>
    </row>
    <row r="100" spans="11:12" ht="18.75" customHeight="1">
      <c r="K100" s="11"/>
      <c r="L100" s="9"/>
    </row>
    <row r="101" spans="11:12" ht="12.75" customHeight="1">
      <c r="K101" s="3"/>
      <c r="L101" s="8"/>
    </row>
    <row r="102" spans="11:12" ht="12.75" customHeight="1">
      <c r="K102" s="3"/>
      <c r="L102" s="8"/>
    </row>
    <row r="103" spans="11:12" ht="12.75" customHeight="1">
      <c r="K103" s="3"/>
      <c r="L103" s="8"/>
    </row>
    <row r="104" ht="15.75">
      <c r="K104" s="3"/>
    </row>
    <row r="105" ht="15.75">
      <c r="K105" s="3"/>
    </row>
    <row r="106" ht="15.75">
      <c r="K106" s="3"/>
    </row>
    <row r="107" spans="11:12" ht="15.75">
      <c r="K107" s="3"/>
      <c r="L107" s="3"/>
    </row>
    <row r="108" spans="11:12" ht="15.75">
      <c r="K108" s="3"/>
      <c r="L108" s="3"/>
    </row>
    <row r="109" spans="11:12" ht="15.75">
      <c r="K109" s="3"/>
      <c r="L109" s="3"/>
    </row>
    <row r="110" spans="11:12" ht="15.75">
      <c r="K110" s="3"/>
      <c r="L110" s="3"/>
    </row>
    <row r="111" spans="11:12" ht="15.75">
      <c r="K111" s="3"/>
      <c r="L111" s="3"/>
    </row>
    <row r="112" ht="15.75">
      <c r="L112" s="3"/>
    </row>
    <row r="113" ht="15.75">
      <c r="L113" s="3"/>
    </row>
    <row r="114" ht="15.75">
      <c r="L114" s="3"/>
    </row>
    <row r="115" ht="15.75">
      <c r="L115" s="3"/>
    </row>
    <row r="116" ht="15.75">
      <c r="L116" s="3"/>
    </row>
    <row r="117" ht="15.75">
      <c r="L117" s="3"/>
    </row>
    <row r="118" ht="15.75">
      <c r="L118" s="3"/>
    </row>
    <row r="119" ht="15.75">
      <c r="L119" s="3"/>
    </row>
  </sheetData>
  <sheetProtection password="F7AF" sheet="1" objects="1" scenarios="1"/>
  <mergeCells count="78">
    <mergeCell ref="C66:F66"/>
    <mergeCell ref="G64:J64"/>
    <mergeCell ref="G66:J66"/>
    <mergeCell ref="C65:F65"/>
    <mergeCell ref="G62:J62"/>
    <mergeCell ref="A62:B62"/>
    <mergeCell ref="C62:F62"/>
    <mergeCell ref="A60:J60"/>
    <mergeCell ref="A46:J46"/>
    <mergeCell ref="A51:J51"/>
    <mergeCell ref="A55:J55"/>
    <mergeCell ref="A56:J56"/>
    <mergeCell ref="A57:J57"/>
    <mergeCell ref="A58:J58"/>
    <mergeCell ref="A52:J52"/>
    <mergeCell ref="A53:J53"/>
    <mergeCell ref="C68:F68"/>
    <mergeCell ref="A63:B63"/>
    <mergeCell ref="A64:B64"/>
    <mergeCell ref="A65:B65"/>
    <mergeCell ref="A66:B66"/>
    <mergeCell ref="A67:B67"/>
    <mergeCell ref="A68:B68"/>
    <mergeCell ref="C63:F63"/>
    <mergeCell ref="C64:F64"/>
    <mergeCell ref="C67:F67"/>
    <mergeCell ref="A54:J54"/>
    <mergeCell ref="A47:J47"/>
    <mergeCell ref="A48:J48"/>
    <mergeCell ref="A49:J49"/>
    <mergeCell ref="A50:J50"/>
    <mergeCell ref="A59:J59"/>
    <mergeCell ref="A44:J44"/>
    <mergeCell ref="A45:J45"/>
    <mergeCell ref="A5:J5"/>
    <mergeCell ref="A9:J9"/>
    <mergeCell ref="A13:J13"/>
    <mergeCell ref="A14:J14"/>
    <mergeCell ref="A32:J32"/>
    <mergeCell ref="A35:J35"/>
    <mergeCell ref="A22:J22"/>
    <mergeCell ref="A7:J7"/>
    <mergeCell ref="A12:J12"/>
    <mergeCell ref="A39:J39"/>
    <mergeCell ref="A29:J29"/>
    <mergeCell ref="A15:J15"/>
    <mergeCell ref="A25:J25"/>
    <mergeCell ref="A24:J24"/>
    <mergeCell ref="A23:J23"/>
    <mergeCell ref="A21:J21"/>
    <mergeCell ref="A19:J19"/>
    <mergeCell ref="A20:J20"/>
    <mergeCell ref="A40:J40"/>
    <mergeCell ref="A31:J31"/>
    <mergeCell ref="A34:J34"/>
    <mergeCell ref="A33:J33"/>
    <mergeCell ref="A37:J37"/>
    <mergeCell ref="A38:J38"/>
    <mergeCell ref="A10:J10"/>
    <mergeCell ref="A8:J8"/>
    <mergeCell ref="A30:J30"/>
    <mergeCell ref="A27:J27"/>
    <mergeCell ref="A18:J18"/>
    <mergeCell ref="A17:J17"/>
    <mergeCell ref="A16:J16"/>
    <mergeCell ref="A26:J26"/>
    <mergeCell ref="A28:J28"/>
    <mergeCell ref="A11:J11"/>
    <mergeCell ref="G68:J68"/>
    <mergeCell ref="A61:J61"/>
    <mergeCell ref="A6:J6"/>
    <mergeCell ref="G63:J63"/>
    <mergeCell ref="G65:J65"/>
    <mergeCell ref="G67:J67"/>
    <mergeCell ref="A42:J42"/>
    <mergeCell ref="A43:J43"/>
    <mergeCell ref="A36:J36"/>
    <mergeCell ref="A41:J41"/>
  </mergeCells>
  <hyperlinks>
    <hyperlink ref="A32:D32" location="MARATHON6!A1" tooltip="Cliquez sur cette zone pour aller dans le plan" display="Un plan sur 6 séances hebdomadaires;"/>
    <hyperlink ref="A34:D34" location="MARATHON4!A1" tooltip="Cliquez ici pour aller dans le plan" display="Un plan sur 4 séances hebdomadaires."/>
    <hyperlink ref="A33:D33" location="MARATHON5!A1" tooltip="Cliquez ici pour aller dans le plan" display="Un plan sur 5 séances hebdomadaires;"/>
    <hyperlink ref="A34:J34" location="'Marathon 4 ent.'!A1" tooltip="Cliquez ici pour aller dans le plan" display="Un plan sur 4 séances hebdomadaires"/>
    <hyperlink ref="A33:J33" location="'Marathon 5 ent.'!A1" tooltip="Cliquez ici pour aller dans le plan" display="Un plan sur 5 séances hebdomadaires"/>
    <hyperlink ref="A32:J32" location="'Marathon 6 ent.'!A1" tooltip="Cliquez sur cette zone pour aller dans le plan" display="Un plan sur 6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7:F28"/>
  <sheetViews>
    <sheetView workbookViewId="0" topLeftCell="A1">
      <selection activeCell="D5" sqref="D5"/>
    </sheetView>
  </sheetViews>
  <sheetFormatPr defaultColWidth="11.421875" defaultRowHeight="12.75"/>
  <cols>
    <col min="1" max="1" width="56.140625" style="0" bestFit="1" customWidth="1"/>
    <col min="2" max="2" width="8.140625" style="0" bestFit="1" customWidth="1"/>
    <col min="3" max="3" width="4.421875" style="0" bestFit="1" customWidth="1"/>
    <col min="4" max="4" width="39.140625" style="0" bestFit="1" customWidth="1"/>
    <col min="5" max="5" width="7.00390625" style="0" bestFit="1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6" ht="13.5" thickBot="1"/>
    <row r="7" spans="1:5" ht="13.5" thickBot="1">
      <c r="A7" s="353"/>
      <c r="B7" s="354"/>
      <c r="C7" s="354"/>
      <c r="D7" s="355"/>
      <c r="E7" s="356"/>
    </row>
    <row r="8" spans="1:5" ht="13.5" thickBot="1">
      <c r="A8" s="357" t="s">
        <v>92</v>
      </c>
      <c r="B8" s="358"/>
      <c r="C8" s="17" t="s">
        <v>93</v>
      </c>
      <c r="D8" s="359" t="s">
        <v>303</v>
      </c>
      <c r="E8" s="360"/>
    </row>
    <row r="9" spans="1:5" ht="12.75">
      <c r="A9" s="18" t="str">
        <f>IF(OR(D_test=2000,D_test=3000),"Indiquez la distance du test:","Indiquez la distance du test:")</f>
        <v>Indiquez la distance du test:</v>
      </c>
      <c r="B9" s="19">
        <v>1500</v>
      </c>
      <c r="C9" s="361"/>
      <c r="D9" s="20" t="s">
        <v>147</v>
      </c>
      <c r="E9" s="21">
        <v>0.125</v>
      </c>
    </row>
    <row r="10" spans="1:5" ht="12.75">
      <c r="A10" s="22" t="s">
        <v>97</v>
      </c>
      <c r="B10" s="23">
        <v>0.0042824074074074075</v>
      </c>
      <c r="C10" s="362"/>
      <c r="D10" s="24" t="s">
        <v>151</v>
      </c>
      <c r="E10" s="25"/>
    </row>
    <row r="11" spans="1:6" ht="13.5" thickBot="1">
      <c r="A11" s="26" t="s">
        <v>101</v>
      </c>
      <c r="B11" s="179" t="str">
        <f>TEXT(cat_test_3/K_test,"mm:ss")</f>
        <v>04:07</v>
      </c>
      <c r="C11" s="362"/>
      <c r="D11" s="364" t="s">
        <v>77</v>
      </c>
      <c r="E11" s="365"/>
      <c r="F11" s="2"/>
    </row>
    <row r="12" spans="1:5" ht="12.75">
      <c r="A12" s="26" t="s">
        <v>102</v>
      </c>
      <c r="B12" s="28">
        <f>(HOUR(cat_test_3)*3600+MINUTE(cat_test_3)*60+SECOND(cat_test_3))/K_test</f>
        <v>246.66666666666666</v>
      </c>
      <c r="C12" s="362"/>
      <c r="D12" s="27" t="str">
        <f>IF(D_test=2000,"CAT test 2000m pour objectif:","CAT test 1500m pour objectif:")</f>
        <v>CAT test 1500m pour objectif:</v>
      </c>
      <c r="E12" s="175" t="str">
        <f>TEXT(((objectif/(dist_marathon/K_test))*k_marat),"h:mm:ss")</f>
        <v>0:05:26</v>
      </c>
    </row>
    <row r="13" spans="1:5" ht="12.75">
      <c r="A13" s="26" t="s">
        <v>17</v>
      </c>
      <c r="B13" s="30">
        <f>1000/cat_sec</f>
        <v>4.054054054054054</v>
      </c>
      <c r="C13" s="362"/>
      <c r="D13" s="27" t="s">
        <v>78</v>
      </c>
      <c r="E13" s="87" t="str">
        <f>TEXT(((objectif/dist_marathon)*k_marat),"hh:mm:ss")</f>
        <v>00:03:38</v>
      </c>
    </row>
    <row r="14" spans="1:5" ht="12.75" customHeight="1">
      <c r="A14" s="26" t="s">
        <v>216</v>
      </c>
      <c r="B14" s="31">
        <f>1/cat_sec*3600</f>
        <v>14.594594594594595</v>
      </c>
      <c r="C14" s="362"/>
      <c r="D14" s="27" t="s">
        <v>102</v>
      </c>
      <c r="E14" s="32">
        <f>(MINUTE(((objectif/dist_marathon)*k_marat))*60+SECOND(((objectif/dist_marathon)*k_marat)))</f>
        <v>218</v>
      </c>
    </row>
    <row r="15" spans="1:6" ht="13.5" thickBot="1">
      <c r="A15" s="33" t="s">
        <v>116</v>
      </c>
      <c r="B15" s="34">
        <f>cat_kmh*ind_vma</f>
        <v>54</v>
      </c>
      <c r="C15" s="363"/>
      <c r="D15" s="27" t="s">
        <v>79</v>
      </c>
      <c r="E15" s="35">
        <f>1000/vma_1000_obj</f>
        <v>4.587155963302752</v>
      </c>
      <c r="F15" s="6"/>
    </row>
    <row r="16" spans="1:5" ht="12.75">
      <c r="A16" s="351" t="s">
        <v>13</v>
      </c>
      <c r="B16" s="352"/>
      <c r="C16" s="174">
        <v>55</v>
      </c>
      <c r="D16" s="27" t="s">
        <v>109</v>
      </c>
      <c r="E16" s="35">
        <f>1/vma_1000_obj*3600</f>
        <v>16.51376146788991</v>
      </c>
    </row>
    <row r="17" spans="1:5" ht="13.5" thickBot="1">
      <c r="A17" s="349" t="s">
        <v>12</v>
      </c>
      <c r="B17" s="350"/>
      <c r="C17" s="192">
        <v>198</v>
      </c>
      <c r="D17" s="27" t="s">
        <v>14</v>
      </c>
      <c r="E17" s="36">
        <f>v_vma_obj_kmh*ind_vma</f>
        <v>61.10091743119267</v>
      </c>
    </row>
    <row r="18" spans="1:5" ht="22.5">
      <c r="A18" s="18" t="s">
        <v>122</v>
      </c>
      <c r="B18" s="187">
        <v>1000</v>
      </c>
      <c r="C18" s="193">
        <f>fc_ana*105%</f>
        <v>179.37150000000003</v>
      </c>
      <c r="D18" s="190" t="s">
        <v>132</v>
      </c>
      <c r="E18" s="29" t="str">
        <f>TEXT(seuil,"mm:ss")</f>
        <v>04:02</v>
      </c>
    </row>
    <row r="19" spans="1:5" ht="12.75">
      <c r="A19" s="37" t="s">
        <v>125</v>
      </c>
      <c r="B19" s="178" t="str">
        <f>TEXT(INT(B21/60),"00")&amp;":"&amp;TEXT(B21-(INT(B21/60)*60),"00")</f>
        <v>04:07</v>
      </c>
      <c r="C19" s="28">
        <f>fc_ana*105%</f>
        <v>179.37150000000003</v>
      </c>
      <c r="D19" s="190" t="s">
        <v>136</v>
      </c>
      <c r="E19" s="29" t="str">
        <f>TEXT((objectif/dist_marathon)*k_marat/k_aero,"mm:ss")</f>
        <v>04:32</v>
      </c>
    </row>
    <row r="20" spans="1:5" ht="12.75">
      <c r="A20" s="37" t="s">
        <v>109</v>
      </c>
      <c r="B20" s="39">
        <f>B18/B21*3.6</f>
        <v>14.594594594594597</v>
      </c>
      <c r="C20" s="28">
        <f>fc_ana*105%</f>
        <v>179.37150000000003</v>
      </c>
      <c r="D20" s="190" t="s">
        <v>140</v>
      </c>
      <c r="E20" s="40" t="str">
        <f>TEXT((objectif/dist_marathon)*k_marat/k_recup,"mm:ss")</f>
        <v>05:11</v>
      </c>
    </row>
    <row r="21" spans="1:5" ht="22.5">
      <c r="A21" s="37" t="s">
        <v>128</v>
      </c>
      <c r="B21" s="41">
        <f>dist_vma/(B13+(0.075*((1000-dist_vma)/1000)))</f>
        <v>246.66666666666666</v>
      </c>
      <c r="C21" s="28">
        <f>fc_ana*105%</f>
        <v>179.37150000000003</v>
      </c>
      <c r="D21" s="190" t="s">
        <v>80</v>
      </c>
      <c r="E21" s="176" t="str">
        <f>TEXT(objectif/dist_marathon,"hh:mm:ss")</f>
        <v>00:04:16</v>
      </c>
    </row>
    <row r="22" spans="1:5" ht="12.75">
      <c r="A22" s="37" t="s">
        <v>131</v>
      </c>
      <c r="B22" s="43" t="str">
        <f>TEXT(cat_test_3/K_test/k_anaero,"hh:mm:ss")</f>
        <v>00:04:34</v>
      </c>
      <c r="C22" s="28">
        <f>fc_repos+(z_travail*k_vma*k_anaero)</f>
        <v>170.83</v>
      </c>
      <c r="D22" s="190"/>
      <c r="E22" s="176"/>
    </row>
    <row r="23" spans="1:5" ht="12.75">
      <c r="A23" s="37" t="s">
        <v>135</v>
      </c>
      <c r="B23" s="38">
        <f>cat_test_3/K_test/k_aero</f>
        <v>0.0035686728395061726</v>
      </c>
      <c r="C23" s="28">
        <f>fc_repos+(z_travail*k_vma*k_aero)</f>
        <v>157.96000000000004</v>
      </c>
      <c r="D23" s="190"/>
      <c r="E23" s="176"/>
    </row>
    <row r="24" spans="1:5" ht="12.75">
      <c r="A24" s="37" t="s">
        <v>139</v>
      </c>
      <c r="B24" s="38">
        <f>cat_test_3/K_test/k_recup</f>
        <v>0.004078483245149912</v>
      </c>
      <c r="C24" s="28">
        <f>fc_repos+(z_travail*k_vma*k_recup)</f>
        <v>145.09</v>
      </c>
      <c r="D24" s="190"/>
      <c r="E24" s="176"/>
    </row>
    <row r="25" spans="1:5" ht="12.75">
      <c r="A25" s="37" t="s">
        <v>143</v>
      </c>
      <c r="B25" s="38" t="str">
        <f>seuil_ana</f>
        <v>00:04:34</v>
      </c>
      <c r="C25" s="28">
        <f>fc_repos+(z_travail*k_vma*k_marat)</f>
        <v>164.395</v>
      </c>
      <c r="D25" s="190"/>
      <c r="E25" s="176"/>
    </row>
    <row r="26" spans="1:5" ht="12.75">
      <c r="A26" s="37" t="s">
        <v>146</v>
      </c>
      <c r="B26" s="44">
        <f>seuil_ana*dist_semi</f>
        <v>0.0669064236111111</v>
      </c>
      <c r="C26" s="28">
        <f>fc_repos+(z_travail*k_vma*k_marat)</f>
        <v>164.395</v>
      </c>
      <c r="D26" s="190"/>
      <c r="E26" s="176"/>
    </row>
    <row r="27" spans="1:5" ht="12.75">
      <c r="A27" s="37" t="s">
        <v>150</v>
      </c>
      <c r="B27" s="38">
        <f>cat_test_3/K_test/k_marat</f>
        <v>0.0033587509077705156</v>
      </c>
      <c r="C27" s="28">
        <f>fc_repos+(z_travail*k_vma*k_marat)</f>
        <v>164.395</v>
      </c>
      <c r="D27" s="190"/>
      <c r="E27" s="176"/>
    </row>
    <row r="28" spans="1:5" ht="13.5" thickBot="1">
      <c r="A28" s="45" t="s">
        <v>88</v>
      </c>
      <c r="B28" s="46">
        <f>cat_test_3/K_test/k_marat*dist_marathon</f>
        <v>0.1417224945533769</v>
      </c>
      <c r="C28" s="194">
        <f>fc_repos+(z_travail*k_vma*k_marat)</f>
        <v>164.395</v>
      </c>
      <c r="D28" s="191"/>
      <c r="E28" s="42"/>
    </row>
    <row r="37" ht="19.5" customHeight="1"/>
  </sheetData>
  <sheetProtection password="F7AF" sheet="1" objects="1" scenarios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2">
    <dataValidation type="whole" allowBlank="1" showInputMessage="1" showErrorMessage="1" errorTitle="Attention" error="Vous devez introduire une valeur entre 100 et 1000" sqref="B18">
      <formula1>100</formula1>
      <formula2>1000</formula2>
    </dataValidation>
    <dataValidation type="list" allowBlank="1" showInputMessage="1" showErrorMessage="1" sqref="B9">
      <formula1>"1500, 2000"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2"/>
  <sheetViews>
    <sheetView workbookViewId="0" topLeftCell="A29">
      <selection activeCell="N31" sqref="N3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4.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99" t="s">
        <v>228</v>
      </c>
      <c r="B6" s="214" t="s">
        <v>160</v>
      </c>
      <c r="C6" s="180">
        <f>cat_km*140%</f>
        <v>0.24013888888888885</v>
      </c>
      <c r="D6" s="80">
        <f>(z_travail*65%)+fc_repos</f>
        <v>147.95</v>
      </c>
      <c r="E6" s="99" t="s">
        <v>228</v>
      </c>
      <c r="F6" s="217" t="s">
        <v>21</v>
      </c>
      <c r="G6" s="180">
        <f>cat_km*140%</f>
        <v>0.24013888888888885</v>
      </c>
      <c r="H6" s="80">
        <f>(z_travail*65%)+fc_repos</f>
        <v>147.95</v>
      </c>
      <c r="I6" s="99" t="s">
        <v>228</v>
      </c>
      <c r="J6" s="218" t="s">
        <v>21</v>
      </c>
      <c r="K6" s="180">
        <f>cat_km*140%</f>
        <v>0.24013888888888885</v>
      </c>
      <c r="L6" s="80">
        <f>(z_travail*65%)+fc_repos</f>
        <v>147.95</v>
      </c>
      <c r="M6" s="99" t="s">
        <v>228</v>
      </c>
      <c r="N6" s="246" t="s">
        <v>76</v>
      </c>
      <c r="O6" s="85"/>
      <c r="P6" s="80"/>
    </row>
    <row r="7" spans="1:16" ht="33.75" customHeight="1">
      <c r="A7" s="100" t="s">
        <v>227</v>
      </c>
      <c r="B7" s="81" t="s">
        <v>161</v>
      </c>
      <c r="C7" s="110">
        <f>cat_vitesse*30</f>
        <v>121.62162162162163</v>
      </c>
      <c r="D7" s="82">
        <f>fc_ana*105%</f>
        <v>179.37150000000003</v>
      </c>
      <c r="E7" s="100" t="s">
        <v>227</v>
      </c>
      <c r="F7" s="83" t="s">
        <v>162</v>
      </c>
      <c r="G7" s="110">
        <f>cat_vitesse*30</f>
        <v>121.62162162162163</v>
      </c>
      <c r="H7" s="82">
        <f>fc_ana*105%</f>
        <v>179.37150000000003</v>
      </c>
      <c r="I7" s="100" t="s">
        <v>227</v>
      </c>
      <c r="J7" s="106" t="s">
        <v>172</v>
      </c>
      <c r="K7" s="110">
        <f>cat_vitesse*60</f>
        <v>243.24324324324326</v>
      </c>
      <c r="L7" s="82">
        <f>fc_ana*105%</f>
        <v>179.37150000000003</v>
      </c>
      <c r="M7" s="100" t="s">
        <v>227</v>
      </c>
      <c r="N7" s="106" t="s">
        <v>241</v>
      </c>
      <c r="O7" s="110">
        <f>cat_vitesse*30</f>
        <v>121.62162162162163</v>
      </c>
      <c r="P7" s="82">
        <f>fc_ana*105%</f>
        <v>179.37150000000003</v>
      </c>
    </row>
    <row r="8" spans="1:16" ht="33.75" customHeight="1">
      <c r="A8" s="100" t="s">
        <v>222</v>
      </c>
      <c r="B8" s="215" t="s">
        <v>82</v>
      </c>
      <c r="C8" s="180">
        <f>cat_km*140%</f>
        <v>0.24013888888888885</v>
      </c>
      <c r="D8" s="80">
        <f>(z_travail*65%)+fc_repos</f>
        <v>147.95</v>
      </c>
      <c r="E8" s="100" t="s">
        <v>222</v>
      </c>
      <c r="F8" s="235" t="s">
        <v>274</v>
      </c>
      <c r="G8" s="86">
        <f>(al_marathon)/1000*600</f>
        <v>0.0017777777777777776</v>
      </c>
      <c r="H8" s="82">
        <f>fc_competition</f>
        <v>179.02985833333332</v>
      </c>
      <c r="I8" s="100" t="s">
        <v>222</v>
      </c>
      <c r="J8" s="236" t="s">
        <v>297</v>
      </c>
      <c r="K8" s="86">
        <f>(al_marathon)/1000*800</f>
        <v>0.0023703703703703703</v>
      </c>
      <c r="L8" s="82">
        <f>fc_competition</f>
        <v>179.02985833333332</v>
      </c>
      <c r="M8" s="100" t="s">
        <v>222</v>
      </c>
      <c r="N8" s="218" t="s">
        <v>21</v>
      </c>
      <c r="O8" s="180">
        <f>cat_km*140%</f>
        <v>0.24013888888888885</v>
      </c>
      <c r="P8" s="80">
        <f>(z_travail*65%)+fc_repos</f>
        <v>147.95</v>
      </c>
    </row>
    <row r="9" spans="1:16" ht="33.75" customHeight="1">
      <c r="A9" s="100" t="s">
        <v>226</v>
      </c>
      <c r="B9" s="234" t="s">
        <v>275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216" t="s">
        <v>21</v>
      </c>
      <c r="G9" s="180">
        <f>cat_km*140%</f>
        <v>0.24013888888888885</v>
      </c>
      <c r="H9" s="80">
        <f>(z_travail*65%)+fc_repos</f>
        <v>147.95</v>
      </c>
      <c r="I9" s="100" t="s">
        <v>226</v>
      </c>
      <c r="J9" s="218" t="s">
        <v>21</v>
      </c>
      <c r="K9" s="180">
        <f>cat_km*140%</f>
        <v>0.24013888888888885</v>
      </c>
      <c r="L9" s="80">
        <f>(z_travail*65%)+fc_repos</f>
        <v>147.95</v>
      </c>
      <c r="M9" s="100" t="s">
        <v>226</v>
      </c>
      <c r="N9" s="236" t="s">
        <v>298</v>
      </c>
      <c r="O9" s="86">
        <f>(al_marathon)*900/1000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44" t="s">
        <v>76</v>
      </c>
      <c r="C10" s="86"/>
      <c r="D10" s="82"/>
      <c r="E10" s="100" t="s">
        <v>223</v>
      </c>
      <c r="F10" s="245" t="s">
        <v>76</v>
      </c>
      <c r="G10" s="86"/>
      <c r="H10" s="82"/>
      <c r="I10" s="100" t="s">
        <v>223</v>
      </c>
      <c r="J10" s="246" t="s">
        <v>76</v>
      </c>
      <c r="K10" s="86"/>
      <c r="L10" s="82"/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39" t="s">
        <v>231</v>
      </c>
      <c r="C11" s="86">
        <f>(vma_obj_km*90%)/5</f>
        <v>0.0004541666666666667</v>
      </c>
      <c r="D11" s="82">
        <f>fc_vma*105%</f>
        <v>188.34007500000004</v>
      </c>
      <c r="E11" s="100" t="s">
        <v>224</v>
      </c>
      <c r="F11" s="240" t="s">
        <v>230</v>
      </c>
      <c r="G11" s="86">
        <f>((vma_obj_km*90%)/1000)*300</f>
        <v>0.00068125</v>
      </c>
      <c r="H11" s="82">
        <f>fc_vma*105%</f>
        <v>188.34007500000004</v>
      </c>
      <c r="I11" s="100" t="s">
        <v>224</v>
      </c>
      <c r="J11" s="241" t="s">
        <v>229</v>
      </c>
      <c r="K11" s="86">
        <f>((vma_obj_km)*90%/1000)*200</f>
        <v>0.0004541666666666667</v>
      </c>
      <c r="L11" s="82">
        <f>fc_vma*105%</f>
        <v>188.34007500000004</v>
      </c>
      <c r="M11" s="100" t="s">
        <v>224</v>
      </c>
      <c r="N11" s="241" t="s">
        <v>244</v>
      </c>
      <c r="O11" s="86">
        <f>((vma_obj_km)/1000)*500</f>
        <v>0.001261574074074074</v>
      </c>
      <c r="P11" s="82">
        <f>fc_vma</f>
        <v>179.37150000000003</v>
      </c>
    </row>
    <row r="12" spans="1:16" ht="33.75" customHeight="1" thickBot="1">
      <c r="A12" s="101" t="s">
        <v>225</v>
      </c>
      <c r="B12" s="227" t="s">
        <v>83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6" t="s">
        <v>163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221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7" t="s">
        <v>243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99" t="s">
        <v>228</v>
      </c>
      <c r="B21" s="247" t="s">
        <v>76</v>
      </c>
      <c r="C21" s="85"/>
      <c r="D21" s="80"/>
      <c r="E21" s="99" t="s">
        <v>228</v>
      </c>
      <c r="F21" s="217" t="s">
        <v>21</v>
      </c>
      <c r="G21" s="180">
        <f>cat_km*140%</f>
        <v>0.24013888888888885</v>
      </c>
      <c r="H21" s="80">
        <f>(z_travail*65%)+fc_repos</f>
        <v>147.95</v>
      </c>
      <c r="I21" s="99" t="s">
        <v>228</v>
      </c>
      <c r="J21" s="214" t="s">
        <v>21</v>
      </c>
      <c r="K21" s="180">
        <f>cat_km*140%</f>
        <v>0.24013888888888885</v>
      </c>
      <c r="L21" s="80">
        <f>(z_travail*65%)+fc_repos</f>
        <v>147.95</v>
      </c>
      <c r="M21" s="99" t="s">
        <v>228</v>
      </c>
      <c r="N21" s="214" t="s">
        <v>169</v>
      </c>
      <c r="O21" s="180">
        <f>cat_km*140%</f>
        <v>0.24013888888888885</v>
      </c>
      <c r="P21" s="80">
        <f>(z_travail*65%)+fc_repos</f>
        <v>147.95</v>
      </c>
    </row>
    <row r="22" spans="1:16" ht="33.75" customHeight="1">
      <c r="A22" s="100" t="s">
        <v>227</v>
      </c>
      <c r="B22" s="81" t="s">
        <v>164</v>
      </c>
      <c r="C22" s="110">
        <f>cat_vitesse*90</f>
        <v>364.8648648648649</v>
      </c>
      <c r="D22" s="82">
        <f>fc_ana*105%</f>
        <v>179.37150000000003</v>
      </c>
      <c r="E22" s="100" t="s">
        <v>227</v>
      </c>
      <c r="F22" s="83" t="s">
        <v>166</v>
      </c>
      <c r="G22" s="110">
        <f>cat_vitesse*20</f>
        <v>81.0810810810811</v>
      </c>
      <c r="H22" s="82">
        <f>fc_ana*105%</f>
        <v>179.37150000000003</v>
      </c>
      <c r="I22" s="100" t="s">
        <v>227</v>
      </c>
      <c r="J22" s="81" t="s">
        <v>168</v>
      </c>
      <c r="K22" s="110">
        <f>cat_vitesse*50</f>
        <v>202.7027027027027</v>
      </c>
      <c r="L22" s="82">
        <f>fc_ana*105%</f>
        <v>179.37150000000003</v>
      </c>
      <c r="M22" s="100" t="s">
        <v>227</v>
      </c>
      <c r="N22" s="215" t="s">
        <v>21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215" t="s">
        <v>21</v>
      </c>
      <c r="C23" s="180">
        <f>cat_km*140%</f>
        <v>0.24013888888888885</v>
      </c>
      <c r="D23" s="80">
        <f>(z_travail*65%)+fc_repos</f>
        <v>147.95</v>
      </c>
      <c r="E23" s="100" t="s">
        <v>222</v>
      </c>
      <c r="F23" s="216" t="s">
        <v>21</v>
      </c>
      <c r="G23" s="180">
        <f>cat_km*140%</f>
        <v>0.24013888888888885</v>
      </c>
      <c r="H23" s="80">
        <f>(z_travail*65%)+fc_repos</f>
        <v>147.95</v>
      </c>
      <c r="I23" s="100" t="s">
        <v>222</v>
      </c>
      <c r="J23" s="215" t="s">
        <v>21</v>
      </c>
      <c r="K23" s="180">
        <f>cat_km*140%</f>
        <v>0.24013888888888885</v>
      </c>
      <c r="L23" s="80">
        <f>(z_travail*65%)+fc_repos</f>
        <v>147.95</v>
      </c>
      <c r="M23" s="100" t="s">
        <v>222</v>
      </c>
      <c r="N23" s="81" t="s">
        <v>170</v>
      </c>
      <c r="O23" s="110">
        <f>cat_vitesse*30</f>
        <v>121.62162162162163</v>
      </c>
      <c r="P23" s="82">
        <f>fc_ana*105%</f>
        <v>179.37150000000003</v>
      </c>
    </row>
    <row r="24" spans="1:16" ht="33.75" customHeight="1">
      <c r="A24" s="100" t="s">
        <v>226</v>
      </c>
      <c r="B24" s="233" t="s">
        <v>232</v>
      </c>
      <c r="C24" s="86">
        <f>(al_marathon)*2</f>
        <v>0.005925925925925926</v>
      </c>
      <c r="D24" s="82">
        <f>fc_competition</f>
        <v>179.02985833333332</v>
      </c>
      <c r="E24" s="100" t="s">
        <v>226</v>
      </c>
      <c r="F24" s="232" t="s">
        <v>178</v>
      </c>
      <c r="G24" s="86">
        <f>(al_marathon)*3</f>
        <v>0.008888888888888889</v>
      </c>
      <c r="H24" s="82">
        <f>fc_competition</f>
        <v>179.02985833333332</v>
      </c>
      <c r="I24" s="100" t="s">
        <v>226</v>
      </c>
      <c r="J24" s="231" t="s">
        <v>179</v>
      </c>
      <c r="K24" s="86">
        <f>(al_marathon)*4</f>
        <v>0.011851851851851851</v>
      </c>
      <c r="L24" s="82">
        <f>fc_competition</f>
        <v>179.02985833333332</v>
      </c>
      <c r="M24" s="100" t="s">
        <v>226</v>
      </c>
      <c r="N24" s="244" t="s">
        <v>76</v>
      </c>
      <c r="O24" s="86"/>
      <c r="P24" s="82"/>
    </row>
    <row r="25" spans="1:16" ht="33.75" customHeight="1">
      <c r="A25" s="100" t="s">
        <v>223</v>
      </c>
      <c r="B25" s="215" t="s">
        <v>83</v>
      </c>
      <c r="C25" s="180">
        <f>cat_km*140%</f>
        <v>0.24013888888888885</v>
      </c>
      <c r="D25" s="80">
        <f>(z_travail*65%)+fc_repos</f>
        <v>147.95</v>
      </c>
      <c r="E25" s="100" t="s">
        <v>223</v>
      </c>
      <c r="F25" s="245" t="s">
        <v>76</v>
      </c>
      <c r="G25" s="86"/>
      <c r="H25" s="82"/>
      <c r="I25" s="100" t="s">
        <v>223</v>
      </c>
      <c r="J25" s="244" t="s">
        <v>76</v>
      </c>
      <c r="K25" s="86"/>
      <c r="L25" s="82"/>
      <c r="M25" s="100" t="s">
        <v>223</v>
      </c>
      <c r="N25" s="215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41" t="s">
        <v>242</v>
      </c>
      <c r="C26" s="86">
        <f>((vma_obj_km)*103%/1000)*800</f>
        <v>0.0020790740740740743</v>
      </c>
      <c r="D26" s="82">
        <f>fc_vma*97%</f>
        <v>173.99035500000002</v>
      </c>
      <c r="E26" s="100" t="s">
        <v>224</v>
      </c>
      <c r="F26" s="240" t="s">
        <v>217</v>
      </c>
      <c r="G26" s="86">
        <f>((vma_obj_km*103%)/1000)*1200</f>
        <v>0.003118611111111111</v>
      </c>
      <c r="H26" s="82">
        <f>fc_vma*97%</f>
        <v>173.99035500000002</v>
      </c>
      <c r="I26" s="100" t="s">
        <v>224</v>
      </c>
      <c r="J26" s="248" t="s">
        <v>218</v>
      </c>
      <c r="K26" s="180">
        <f>cat_km*140%</f>
        <v>0.24013888888888885</v>
      </c>
      <c r="L26" s="80">
        <f>(z_travail*65%)+fc_repos</f>
        <v>147.95</v>
      </c>
      <c r="M26" s="100" t="s">
        <v>224</v>
      </c>
      <c r="N26" s="242" t="s">
        <v>219</v>
      </c>
      <c r="O26" s="86">
        <f>((vma_obj_km*90%)/1000)*200</f>
        <v>0.0004541666666666667</v>
      </c>
      <c r="P26" s="82">
        <f>fc_vma*105%</f>
        <v>188.34007500000004</v>
      </c>
    </row>
    <row r="27" spans="1:16" ht="33.75" customHeight="1" thickBot="1">
      <c r="A27" s="101" t="s">
        <v>225</v>
      </c>
      <c r="B27" s="227" t="s">
        <v>165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6" t="s">
        <v>167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21" t="s">
        <v>85</v>
      </c>
      <c r="K27" s="177">
        <f>T_semi</f>
        <v>0.06262602124183007</v>
      </c>
      <c r="L27" s="112">
        <f>fc_competition</f>
        <v>179.02985833333332</v>
      </c>
      <c r="M27" s="101" t="s">
        <v>225</v>
      </c>
      <c r="N27" s="227" t="s">
        <v>171</v>
      </c>
      <c r="O27" s="181">
        <f>(cat_km)*145%</f>
        <v>0.24871527777777774</v>
      </c>
      <c r="P27" s="84">
        <f>(z_travail*61.5%)+fc_repos</f>
        <v>142.945</v>
      </c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122"/>
      <c r="B35" s="47" t="e">
        <f>"semaine du "&amp;TEXT(mdate-27,"jj/mm")&amp;" au "&amp;TEXT(mdate-21,"jj/mm")</f>
        <v>#VALUE!</v>
      </c>
      <c r="C35" s="49"/>
      <c r="D35" s="48"/>
      <c r="E35" s="122"/>
      <c r="F35" s="47" t="e">
        <f>"semaine du "&amp;TEXT(mdate-20,"jj/mm")&amp;" au "&amp;TEXT(mdate-14,"jj/mm")</f>
        <v>#VALUE!</v>
      </c>
      <c r="G35" s="49"/>
      <c r="H35" s="48"/>
      <c r="I35" s="122"/>
      <c r="J35" s="47" t="e">
        <f>"semaine du "&amp;TEXT(mdate-13,"jj/mm")&amp;" au "&amp;TEXT(mdate-7,"jj/mm")</f>
        <v>#VALUE!</v>
      </c>
      <c r="K35" s="50"/>
      <c r="L35" s="48"/>
      <c r="M35" s="122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14" t="s">
        <v>228</v>
      </c>
      <c r="B36" s="221" t="s">
        <v>21</v>
      </c>
      <c r="C36" s="180">
        <f>cat_km*140%</f>
        <v>0.24013888888888885</v>
      </c>
      <c r="D36" s="80">
        <f>(z_travail*65%)+fc_repos</f>
        <v>147.95</v>
      </c>
      <c r="E36" s="114" t="s">
        <v>228</v>
      </c>
      <c r="F36" s="222" t="s">
        <v>174</v>
      </c>
      <c r="G36" s="180">
        <f>cat_km*140%</f>
        <v>0.24013888888888885</v>
      </c>
      <c r="H36" s="80">
        <f>(z_travail*65%)+fc_repos</f>
        <v>147.95</v>
      </c>
      <c r="I36" s="114" t="s">
        <v>228</v>
      </c>
      <c r="J36" s="221" t="s">
        <v>21</v>
      </c>
      <c r="K36" s="188">
        <f>cat_km*140%</f>
        <v>0.24013888888888885</v>
      </c>
      <c r="L36" s="116">
        <f>(z_travail*65%)+fc_repos</f>
        <v>147.95</v>
      </c>
      <c r="M36" s="117" t="s">
        <v>228</v>
      </c>
      <c r="N36" s="249" t="s">
        <v>76</v>
      </c>
      <c r="O36" s="115"/>
      <c r="P36" s="116"/>
    </row>
    <row r="37" spans="1:16" ht="33.75" customHeight="1">
      <c r="A37" s="100" t="s">
        <v>227</v>
      </c>
      <c r="B37" s="81" t="s">
        <v>172</v>
      </c>
      <c r="C37" s="110">
        <f>cat_vitesse*60</f>
        <v>243.24324324324326</v>
      </c>
      <c r="D37" s="82">
        <f>fc_ana*105%</f>
        <v>179.37150000000003</v>
      </c>
      <c r="E37" s="100" t="s">
        <v>227</v>
      </c>
      <c r="F37" s="83" t="s">
        <v>172</v>
      </c>
      <c r="G37" s="110">
        <f>cat_vitesse*60</f>
        <v>243.24324324324326</v>
      </c>
      <c r="H37" s="82">
        <f>fc_ana*105%</f>
        <v>179.37150000000003</v>
      </c>
      <c r="I37" s="100" t="s">
        <v>227</v>
      </c>
      <c r="J37" s="81" t="s">
        <v>176</v>
      </c>
      <c r="K37" s="110">
        <f>cat_vitesse*20</f>
        <v>81.0810810810811</v>
      </c>
      <c r="L37" s="82">
        <f>fc_ana*105%</f>
        <v>179.37150000000003</v>
      </c>
      <c r="M37" s="118" t="s">
        <v>227</v>
      </c>
      <c r="N37" s="231" t="s">
        <v>180</v>
      </c>
      <c r="O37" s="86" t="str">
        <f>(al_marathon)</f>
        <v>00:04:16</v>
      </c>
      <c r="P37" s="82">
        <f>fc_competition</f>
        <v>179.02985833333332</v>
      </c>
    </row>
    <row r="38" spans="1:16" ht="33.75" customHeight="1">
      <c r="A38" s="100" t="s">
        <v>222</v>
      </c>
      <c r="B38" s="215" t="s">
        <v>21</v>
      </c>
      <c r="C38" s="180">
        <f>cat_km*140%</f>
        <v>0.24013888888888885</v>
      </c>
      <c r="D38" s="80">
        <f>(z_travail*65%)+fc_repos</f>
        <v>147.95</v>
      </c>
      <c r="E38" s="100" t="s">
        <v>222</v>
      </c>
      <c r="F38" s="216" t="s">
        <v>21</v>
      </c>
      <c r="G38" s="180">
        <f>cat_km*140%</f>
        <v>0.24013888888888885</v>
      </c>
      <c r="H38" s="80">
        <f>(z_travail*65%)+fc_repos</f>
        <v>147.95</v>
      </c>
      <c r="I38" s="100" t="s">
        <v>222</v>
      </c>
      <c r="J38" s="215" t="s">
        <v>21</v>
      </c>
      <c r="K38" s="180">
        <f>cat_km*140%</f>
        <v>0.24013888888888885</v>
      </c>
      <c r="L38" s="80">
        <f>(z_travail*65%)+fc_repos</f>
        <v>147.95</v>
      </c>
      <c r="M38" s="118" t="s">
        <v>222</v>
      </c>
      <c r="N38" s="244" t="s">
        <v>76</v>
      </c>
      <c r="O38" s="86"/>
      <c r="P38" s="82"/>
    </row>
    <row r="39" spans="1:16" ht="33.75" customHeight="1">
      <c r="A39" s="100" t="s">
        <v>226</v>
      </c>
      <c r="B39" s="231" t="s">
        <v>179</v>
      </c>
      <c r="C39" s="86">
        <f>(al_marathon)*4</f>
        <v>0.011851851851851851</v>
      </c>
      <c r="D39" s="82">
        <f>fc_competition</f>
        <v>179.02985833333332</v>
      </c>
      <c r="E39" s="100" t="s">
        <v>226</v>
      </c>
      <c r="F39" s="232" t="s">
        <v>181</v>
      </c>
      <c r="G39" s="86">
        <f>(al_marathon)*5</f>
        <v>0.014814814814814814</v>
      </c>
      <c r="H39" s="82">
        <f>fc_competition</f>
        <v>179.02985833333332</v>
      </c>
      <c r="I39" s="100" t="s">
        <v>226</v>
      </c>
      <c r="J39" s="231" t="s">
        <v>178</v>
      </c>
      <c r="K39" s="86">
        <f>(al_marathon)*3</f>
        <v>0.008888888888888889</v>
      </c>
      <c r="L39" s="82">
        <f>fc_competition</f>
        <v>179.02985833333332</v>
      </c>
      <c r="M39" s="118" t="s">
        <v>226</v>
      </c>
      <c r="N39" s="215" t="s">
        <v>22</v>
      </c>
      <c r="O39" s="180">
        <f>cat_km*140%</f>
        <v>0.24013888888888885</v>
      </c>
      <c r="P39" s="80">
        <f>(z_travail*65%)+fc_repos</f>
        <v>147.95</v>
      </c>
    </row>
    <row r="40" spans="1:16" ht="33.75" customHeight="1">
      <c r="A40" s="100" t="s">
        <v>223</v>
      </c>
      <c r="B40" s="244" t="s">
        <v>76</v>
      </c>
      <c r="C40" s="86"/>
      <c r="D40" s="82"/>
      <c r="E40" s="100" t="s">
        <v>223</v>
      </c>
      <c r="F40" s="245" t="s">
        <v>76</v>
      </c>
      <c r="G40" s="86"/>
      <c r="H40" s="82"/>
      <c r="I40" s="100" t="s">
        <v>223</v>
      </c>
      <c r="J40" s="244" t="s">
        <v>76</v>
      </c>
      <c r="K40" s="86"/>
      <c r="L40" s="82"/>
      <c r="M40" s="118" t="s">
        <v>223</v>
      </c>
      <c r="N40" s="244" t="s">
        <v>76</v>
      </c>
      <c r="O40" s="86"/>
      <c r="P40" s="82"/>
    </row>
    <row r="41" spans="1:16" ht="33.75" customHeight="1">
      <c r="A41" s="100" t="s">
        <v>224</v>
      </c>
      <c r="B41" s="219" t="s">
        <v>218</v>
      </c>
      <c r="C41" s="180">
        <f>cat_km*140%</f>
        <v>0.24013888888888885</v>
      </c>
      <c r="D41" s="80">
        <f>(z_travail*65%)+fc_repos</f>
        <v>147.95</v>
      </c>
      <c r="E41" s="100" t="s">
        <v>224</v>
      </c>
      <c r="F41" s="240" t="s">
        <v>220</v>
      </c>
      <c r="G41" s="86">
        <f>((vma_obj_km*103%)/1000)*1000</f>
        <v>0.0025988425925925927</v>
      </c>
      <c r="H41" s="82">
        <f>fc_vma*97%</f>
        <v>173.99035500000002</v>
      </c>
      <c r="I41" s="100" t="s">
        <v>224</v>
      </c>
      <c r="J41" s="213" t="s">
        <v>177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19" t="s">
        <v>218</v>
      </c>
      <c r="O41" s="180">
        <f>cat_km*140%</f>
        <v>0.24013888888888885</v>
      </c>
      <c r="P41" s="80">
        <f>(z_travail*65%)+fc_repos</f>
        <v>147.95</v>
      </c>
    </row>
    <row r="42" spans="1:16" ht="33.75" customHeight="1" thickBot="1">
      <c r="A42" s="101" t="s">
        <v>225</v>
      </c>
      <c r="B42" s="121" t="s">
        <v>173</v>
      </c>
      <c r="C42" s="111">
        <f>T_10k</f>
        <v>0.02968409586056645</v>
      </c>
      <c r="D42" s="112">
        <f>fc_competition</f>
        <v>179.02985833333332</v>
      </c>
      <c r="E42" s="101" t="s">
        <v>225</v>
      </c>
      <c r="F42" s="226" t="s">
        <v>175</v>
      </c>
      <c r="G42" s="181">
        <f>(cat_km)*145%</f>
        <v>0.24871527777777774</v>
      </c>
      <c r="H42" s="84">
        <f>(z_travail*61.5%)+fc_repos</f>
        <v>142.945</v>
      </c>
      <c r="I42" s="101" t="s">
        <v>225</v>
      </c>
      <c r="J42" s="220" t="s">
        <v>22</v>
      </c>
      <c r="K42" s="181">
        <f>cat_km*140%</f>
        <v>0.24013888888888885</v>
      </c>
      <c r="L42" s="189">
        <f>(z_travail*65%)+fc_repos</f>
        <v>147.95</v>
      </c>
      <c r="M42" s="119" t="s">
        <v>225</v>
      </c>
      <c r="N42" s="121" t="s">
        <v>87</v>
      </c>
      <c r="O42" s="111">
        <f>objectif</f>
        <v>0.125</v>
      </c>
      <c r="P42" s="112">
        <f>fc_competition</f>
        <v>179.02985833333332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P42"/>
  <sheetViews>
    <sheetView workbookViewId="0" topLeftCell="A1">
      <selection activeCell="S39" sqref="S39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8515625" style="15" bestFit="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99" t="s">
        <v>228</v>
      </c>
      <c r="B6" s="246" t="s">
        <v>76</v>
      </c>
      <c r="C6" s="85"/>
      <c r="D6" s="80"/>
      <c r="E6" s="99" t="s">
        <v>228</v>
      </c>
      <c r="F6" s="246" t="s">
        <v>76</v>
      </c>
      <c r="G6" s="85"/>
      <c r="H6" s="80"/>
      <c r="I6" s="99" t="s">
        <v>228</v>
      </c>
      <c r="J6" s="246" t="s">
        <v>76</v>
      </c>
      <c r="K6" s="85"/>
      <c r="L6" s="82"/>
      <c r="M6" s="99" t="s">
        <v>228</v>
      </c>
      <c r="N6" s="246" t="s">
        <v>76</v>
      </c>
      <c r="O6" s="85"/>
      <c r="P6" s="80"/>
    </row>
    <row r="7" spans="1:16" ht="33.75" customHeight="1">
      <c r="A7" s="100" t="s">
        <v>227</v>
      </c>
      <c r="B7" s="218" t="s">
        <v>160</v>
      </c>
      <c r="C7" s="180">
        <f>cat_km*140%</f>
        <v>0.24013888888888885</v>
      </c>
      <c r="D7" s="80">
        <f>(z_travail*65%)+fc_repos</f>
        <v>147.95</v>
      </c>
      <c r="E7" s="100" t="s">
        <v>227</v>
      </c>
      <c r="F7" s="218" t="s">
        <v>21</v>
      </c>
      <c r="G7" s="180">
        <f>cat_km*140%</f>
        <v>0.24013888888888885</v>
      </c>
      <c r="H7" s="80">
        <f>(z_travail*65%)+fc_repos</f>
        <v>147.95</v>
      </c>
      <c r="I7" s="100" t="s">
        <v>227</v>
      </c>
      <c r="J7" s="218" t="s">
        <v>160</v>
      </c>
      <c r="K7" s="180">
        <f>cat_km*140%</f>
        <v>0.24013888888888885</v>
      </c>
      <c r="L7" s="80">
        <f>(z_travail*65%)+fc_repos</f>
        <v>147.95</v>
      </c>
      <c r="M7" s="100" t="s">
        <v>227</v>
      </c>
      <c r="N7" s="218" t="s">
        <v>160</v>
      </c>
      <c r="O7" s="180">
        <f>cat_km*140%</f>
        <v>0.24013888888888885</v>
      </c>
      <c r="P7" s="80">
        <f>(z_travail*65%)+fc_repos</f>
        <v>147.95</v>
      </c>
    </row>
    <row r="8" spans="1:16" ht="33.75" customHeight="1">
      <c r="A8" s="100" t="s">
        <v>222</v>
      </c>
      <c r="B8" s="106" t="s">
        <v>245</v>
      </c>
      <c r="C8" s="110">
        <f>cat_vitesse*20</f>
        <v>81.0810810810811</v>
      </c>
      <c r="D8" s="82">
        <f>fc_ana*105%</f>
        <v>179.37150000000003</v>
      </c>
      <c r="E8" s="100" t="s">
        <v>222</v>
      </c>
      <c r="F8" s="236" t="s">
        <v>249</v>
      </c>
      <c r="G8" s="86">
        <f>(al_marathon)/1000*600</f>
        <v>0.0017777777777777776</v>
      </c>
      <c r="H8" s="82">
        <f>fc_competition</f>
        <v>179.02985833333332</v>
      </c>
      <c r="I8" s="100" t="s">
        <v>222</v>
      </c>
      <c r="J8" s="238" t="s">
        <v>172</v>
      </c>
      <c r="K8" s="110">
        <f>cat_vitesse*60</f>
        <v>243.24324324324326</v>
      </c>
      <c r="L8" s="82">
        <f>fc_ana*105%</f>
        <v>179.37150000000003</v>
      </c>
      <c r="M8" s="100" t="s">
        <v>222</v>
      </c>
      <c r="N8" s="218" t="s">
        <v>160</v>
      </c>
      <c r="O8" s="180">
        <f>cat_km*140%</f>
        <v>0.24013888888888885</v>
      </c>
      <c r="P8" s="80">
        <f>(z_travail*65%)+fc_repos</f>
        <v>147.95</v>
      </c>
    </row>
    <row r="9" spans="1:16" ht="33.75" customHeight="1">
      <c r="A9" s="100" t="s">
        <v>226</v>
      </c>
      <c r="B9" s="236" t="s">
        <v>300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218" t="s">
        <v>160</v>
      </c>
      <c r="G9" s="180">
        <f>cat_km*140%</f>
        <v>0.24013888888888885</v>
      </c>
      <c r="H9" s="80">
        <f>(z_travail*65%)+fc_repos</f>
        <v>147.95</v>
      </c>
      <c r="I9" s="100" t="s">
        <v>226</v>
      </c>
      <c r="J9" s="107" t="s">
        <v>248</v>
      </c>
      <c r="K9" s="86">
        <f>(al_marathon)/1000*800</f>
        <v>0.0023703703703703703</v>
      </c>
      <c r="L9" s="82">
        <f>fc_competition</f>
        <v>179.02985833333332</v>
      </c>
      <c r="M9" s="100" t="s">
        <v>226</v>
      </c>
      <c r="N9" s="108" t="s">
        <v>253</v>
      </c>
      <c r="O9" s="86">
        <f>(al_marathon)*900/1000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46" t="s">
        <v>76</v>
      </c>
      <c r="C10" s="86"/>
      <c r="D10" s="82"/>
      <c r="E10" s="100" t="s">
        <v>223</v>
      </c>
      <c r="F10" s="246" t="s">
        <v>76</v>
      </c>
      <c r="G10" s="86"/>
      <c r="H10" s="82"/>
      <c r="I10" s="100" t="s">
        <v>223</v>
      </c>
      <c r="J10" s="246" t="s">
        <v>76</v>
      </c>
      <c r="K10" s="86"/>
      <c r="L10" s="82"/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43" t="s">
        <v>254</v>
      </c>
      <c r="C11" s="86">
        <f>((vma_obj_km*90%)/1000)*150</f>
        <v>0.000340625</v>
      </c>
      <c r="D11" s="82">
        <f>fc_vma*105%</f>
        <v>188.34007500000004</v>
      </c>
      <c r="E11" s="100" t="s">
        <v>224</v>
      </c>
      <c r="F11" s="243" t="s">
        <v>302</v>
      </c>
      <c r="G11" s="86">
        <f>((vma_obj_km*90%)/1000)*300</f>
        <v>0.00068125</v>
      </c>
      <c r="H11" s="82">
        <f>fc_vma*105%</f>
        <v>188.34007500000004</v>
      </c>
      <c r="I11" s="100" t="s">
        <v>224</v>
      </c>
      <c r="J11" s="218" t="s">
        <v>21</v>
      </c>
      <c r="K11" s="180">
        <f>cat_km*140%</f>
        <v>0.24013888888888885</v>
      </c>
      <c r="L11" s="80">
        <f>(z_travail*65%)+fc_repos</f>
        <v>147.95</v>
      </c>
      <c r="M11" s="100" t="s">
        <v>224</v>
      </c>
      <c r="N11" s="218" t="s">
        <v>160</v>
      </c>
      <c r="O11" s="180">
        <f>cat_km*140%</f>
        <v>0.24013888888888885</v>
      </c>
      <c r="P11" s="80">
        <f>(z_travail*65%)+fc_repos</f>
        <v>147.95</v>
      </c>
    </row>
    <row r="12" spans="1:16" ht="33.75" customHeight="1" thickBot="1">
      <c r="A12" s="101" t="s">
        <v>225</v>
      </c>
      <c r="B12" s="228" t="s">
        <v>246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8" t="s">
        <v>247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247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8" t="s">
        <v>250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14" t="s">
        <v>228</v>
      </c>
      <c r="B21" s="250" t="s">
        <v>76</v>
      </c>
      <c r="C21" s="115"/>
      <c r="D21" s="116"/>
      <c r="E21" s="114" t="s">
        <v>228</v>
      </c>
      <c r="F21" s="250" t="s">
        <v>76</v>
      </c>
      <c r="G21" s="115"/>
      <c r="H21" s="116"/>
      <c r="I21" s="114" t="s">
        <v>228</v>
      </c>
      <c r="J21" s="250" t="s">
        <v>76</v>
      </c>
      <c r="K21" s="115"/>
      <c r="L21" s="116"/>
      <c r="M21" s="114" t="s">
        <v>228</v>
      </c>
      <c r="N21" s="250" t="s">
        <v>76</v>
      </c>
      <c r="O21" s="115"/>
      <c r="P21" s="116"/>
    </row>
    <row r="22" spans="1:16" ht="33.75" customHeight="1">
      <c r="A22" s="100" t="s">
        <v>227</v>
      </c>
      <c r="B22" s="218" t="s">
        <v>160</v>
      </c>
      <c r="C22" s="180">
        <f>cat_km*140%</f>
        <v>0.24013888888888885</v>
      </c>
      <c r="D22" s="80">
        <f>(z_travail*65%)+fc_repos</f>
        <v>147.95</v>
      </c>
      <c r="E22" s="100" t="s">
        <v>227</v>
      </c>
      <c r="F22" s="241" t="s">
        <v>268</v>
      </c>
      <c r="G22" s="86">
        <f>((vma_obj_km*90%)/1000)*200</f>
        <v>0.0004541666666666667</v>
      </c>
      <c r="H22" s="82">
        <f>fc_vma*105%</f>
        <v>188.34007500000004</v>
      </c>
      <c r="I22" s="100" t="s">
        <v>227</v>
      </c>
      <c r="J22" s="218" t="s">
        <v>160</v>
      </c>
      <c r="K22" s="180">
        <f>cat_km*140%</f>
        <v>0.24013888888888885</v>
      </c>
      <c r="L22" s="80">
        <f>(z_travail*65%)+fc_repos</f>
        <v>147.95</v>
      </c>
      <c r="M22" s="100" t="s">
        <v>227</v>
      </c>
      <c r="N22" s="218" t="s">
        <v>160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106" t="s">
        <v>251</v>
      </c>
      <c r="C23" s="110">
        <f>cat_vitesse*50</f>
        <v>202.7027027027027</v>
      </c>
      <c r="D23" s="82">
        <f>fc_ana*105%</f>
        <v>179.37150000000003</v>
      </c>
      <c r="E23" s="100" t="s">
        <v>222</v>
      </c>
      <c r="F23" s="218" t="s">
        <v>160</v>
      </c>
      <c r="G23" s="180">
        <f>cat_km*140%</f>
        <v>0.24013888888888885</v>
      </c>
      <c r="H23" s="80">
        <f>(z_travail*65%)+fc_repos</f>
        <v>147.95</v>
      </c>
      <c r="I23" s="100" t="s">
        <v>222</v>
      </c>
      <c r="J23" s="106" t="s">
        <v>256</v>
      </c>
      <c r="K23" s="110">
        <f>cat_vitesse*50</f>
        <v>202.7027027027027</v>
      </c>
      <c r="L23" s="82">
        <f>fc_ana*105%</f>
        <v>179.37150000000003</v>
      </c>
      <c r="M23" s="100" t="s">
        <v>222</v>
      </c>
      <c r="N23" s="237" t="s">
        <v>267</v>
      </c>
      <c r="O23" s="86" t="str">
        <f>(al_marathon)</f>
        <v>00:04:16</v>
      </c>
      <c r="P23" s="82">
        <f>fc_competition</f>
        <v>179.02985833333332</v>
      </c>
    </row>
    <row r="24" spans="1:16" ht="33.75" customHeight="1">
      <c r="A24" s="100" t="s">
        <v>226</v>
      </c>
      <c r="B24" s="237" t="s">
        <v>269</v>
      </c>
      <c r="C24" s="86" t="str">
        <f>(al_marathon)</f>
        <v>00:04:16</v>
      </c>
      <c r="D24" s="82">
        <f>fc_competition</f>
        <v>179.02985833333332</v>
      </c>
      <c r="E24" s="100" t="s">
        <v>226</v>
      </c>
      <c r="F24" s="237" t="s">
        <v>270</v>
      </c>
      <c r="G24" s="86" t="str">
        <f>(al_marathon)</f>
        <v>00:04:16</v>
      </c>
      <c r="H24" s="82">
        <f>fc_competition</f>
        <v>179.02985833333332</v>
      </c>
      <c r="I24" s="100" t="s">
        <v>226</v>
      </c>
      <c r="J24" s="241" t="s">
        <v>299</v>
      </c>
      <c r="K24" s="86">
        <f>((vma_obj_km*95%)/1000)*400</f>
        <v>0.0009587962962962961</v>
      </c>
      <c r="L24" s="82">
        <f>fc_vma*102.5%</f>
        <v>183.85578750000002</v>
      </c>
      <c r="M24" s="100" t="s">
        <v>226</v>
      </c>
      <c r="N24" s="246" t="s">
        <v>76</v>
      </c>
      <c r="O24" s="86"/>
      <c r="P24" s="82"/>
    </row>
    <row r="25" spans="1:16" ht="33.75" customHeight="1">
      <c r="A25" s="100" t="s">
        <v>223</v>
      </c>
      <c r="B25" s="246" t="s">
        <v>76</v>
      </c>
      <c r="C25" s="86"/>
      <c r="D25" s="82"/>
      <c r="E25" s="100" t="s">
        <v>223</v>
      </c>
      <c r="F25" s="246" t="s">
        <v>76</v>
      </c>
      <c r="G25" s="86"/>
      <c r="H25" s="82"/>
      <c r="I25" s="100" t="s">
        <v>223</v>
      </c>
      <c r="J25" s="246" t="s">
        <v>76</v>
      </c>
      <c r="K25" s="86"/>
      <c r="L25" s="82"/>
      <c r="M25" s="100" t="s">
        <v>223</v>
      </c>
      <c r="N25" s="218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18" t="s">
        <v>21</v>
      </c>
      <c r="C26" s="180">
        <f>cat_km*140%</f>
        <v>0.24013888888888885</v>
      </c>
      <c r="D26" s="80">
        <f>(z_travail*65%)+fc_repos</f>
        <v>147.95</v>
      </c>
      <c r="E26" s="100" t="s">
        <v>224</v>
      </c>
      <c r="F26" s="218" t="s">
        <v>21</v>
      </c>
      <c r="G26" s="180">
        <f>cat_km*140%</f>
        <v>0.24013888888888885</v>
      </c>
      <c r="H26" s="80">
        <f>(z_travail*65%)+fc_repos</f>
        <v>147.95</v>
      </c>
      <c r="I26" s="100" t="s">
        <v>224</v>
      </c>
      <c r="J26" s="223" t="s">
        <v>271</v>
      </c>
      <c r="K26" s="180">
        <f>cat_km*140%</f>
        <v>0.24013888888888885</v>
      </c>
      <c r="L26" s="80">
        <f>(z_travail*65%)+fc_repos</f>
        <v>147.95</v>
      </c>
      <c r="M26" s="100" t="s">
        <v>224</v>
      </c>
      <c r="N26" s="218" t="s">
        <v>169</v>
      </c>
      <c r="O26" s="180">
        <f>cat_km*140%</f>
        <v>0.24013888888888885</v>
      </c>
      <c r="P26" s="80">
        <f>(z_travail*65%)+fc_repos</f>
        <v>147.95</v>
      </c>
    </row>
    <row r="27" spans="1:16" ht="33.75" customHeight="1" thickBot="1">
      <c r="A27" s="101" t="s">
        <v>225</v>
      </c>
      <c r="B27" s="228" t="s">
        <v>252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8" t="s">
        <v>255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13" t="s">
        <v>85</v>
      </c>
      <c r="K27" s="177">
        <f>T_semi</f>
        <v>0.06262602124183007</v>
      </c>
      <c r="L27" s="112">
        <f>fc_competition</f>
        <v>179.02985833333332</v>
      </c>
      <c r="M27" s="101" t="s">
        <v>225</v>
      </c>
      <c r="N27" s="228" t="s">
        <v>221</v>
      </c>
      <c r="O27" s="181">
        <f>(cat_km)*145%</f>
        <v>0.24871527777777774</v>
      </c>
      <c r="P27" s="84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76"/>
      <c r="B35" s="77" t="e">
        <f>"semaine du "&amp;TEXT(mdate-27,"jj/mm")&amp;" au "&amp;TEXT(mdate-21,"jj/mm")</f>
        <v>#VALUE!</v>
      </c>
      <c r="C35" s="79"/>
      <c r="D35" s="78"/>
      <c r="E35" s="76"/>
      <c r="F35" s="77" t="e">
        <f>"semaine du "&amp;TEXT(mdate-20,"jj/mm")&amp;" au "&amp;TEXT(mdate-14,"jj/mm")</f>
        <v>#VALUE!</v>
      </c>
      <c r="G35" s="79"/>
      <c r="H35" s="78"/>
      <c r="I35" s="199"/>
      <c r="J35" s="200" t="e">
        <f>"semaine du "&amp;TEXT(mdate-13,"jj/mm")&amp;" au "&amp;TEXT(mdate-7,"jj/mm")</f>
        <v>#VALUE!</v>
      </c>
      <c r="K35" s="201"/>
      <c r="L35" s="202"/>
      <c r="M35" s="76"/>
      <c r="N35" s="77" t="e">
        <f>"semaine du "&amp;TEXT(mdate-6,"jj/mm")&amp;" au "&amp;TEXT(mdate,"jj/mm")</f>
        <v>#VALUE!</v>
      </c>
      <c r="O35" s="109"/>
      <c r="P35" s="78"/>
    </row>
    <row r="36" spans="1:16" ht="33.75" customHeight="1">
      <c r="A36" s="114" t="s">
        <v>228</v>
      </c>
      <c r="B36" s="250" t="s">
        <v>76</v>
      </c>
      <c r="C36" s="115"/>
      <c r="D36" s="116"/>
      <c r="E36" s="114" t="s">
        <v>228</v>
      </c>
      <c r="F36" s="250" t="s">
        <v>76</v>
      </c>
      <c r="G36" s="115"/>
      <c r="H36" s="195"/>
      <c r="I36" s="114" t="s">
        <v>228</v>
      </c>
      <c r="J36" s="249" t="s">
        <v>76</v>
      </c>
      <c r="K36" s="115"/>
      <c r="L36" s="116"/>
      <c r="M36" s="117" t="s">
        <v>228</v>
      </c>
      <c r="N36" s="250" t="s">
        <v>76</v>
      </c>
      <c r="O36" s="115"/>
      <c r="P36" s="116"/>
    </row>
    <row r="37" spans="1:16" ht="33.75" customHeight="1">
      <c r="A37" s="100" t="s">
        <v>227</v>
      </c>
      <c r="B37" s="106" t="s">
        <v>257</v>
      </c>
      <c r="C37" s="110">
        <f>cat_vitesse*90</f>
        <v>364.8648648648649</v>
      </c>
      <c r="D37" s="82">
        <f>fc_ana*105%</f>
        <v>179.37150000000003</v>
      </c>
      <c r="E37" s="100" t="s">
        <v>227</v>
      </c>
      <c r="F37" s="243" t="s">
        <v>263</v>
      </c>
      <c r="G37" s="86">
        <f>((vma_obj_km*103%)/1000)*1000</f>
        <v>0.0025988425925925927</v>
      </c>
      <c r="H37" s="196">
        <f>fc_vma*97%</f>
        <v>173.99035500000002</v>
      </c>
      <c r="I37" s="100" t="s">
        <v>227</v>
      </c>
      <c r="J37" s="81" t="s">
        <v>259</v>
      </c>
      <c r="K37" s="110">
        <f>cat_vitesse*15</f>
        <v>60.810810810810814</v>
      </c>
      <c r="L37" s="82">
        <f>fc_ana*105%</f>
        <v>179.37150000000003</v>
      </c>
      <c r="M37" s="118" t="s">
        <v>227</v>
      </c>
      <c r="N37" s="237" t="s">
        <v>264</v>
      </c>
      <c r="O37" s="86" t="str">
        <f>(al_marathon)</f>
        <v>00:04:16</v>
      </c>
      <c r="P37" s="82">
        <f>fc_competition</f>
        <v>179.02985833333332</v>
      </c>
    </row>
    <row r="38" spans="1:16" ht="33.75" customHeight="1">
      <c r="A38" s="100" t="s">
        <v>222</v>
      </c>
      <c r="B38" s="218" t="s">
        <v>160</v>
      </c>
      <c r="C38" s="180">
        <f>cat_km*140%</f>
        <v>0.24013888888888885</v>
      </c>
      <c r="D38" s="80">
        <f>(z_travail*65%)+fc_repos</f>
        <v>147.95</v>
      </c>
      <c r="E38" s="100" t="s">
        <v>222</v>
      </c>
      <c r="F38" s="218" t="s">
        <v>21</v>
      </c>
      <c r="G38" s="180">
        <f>cat_km*140%</f>
        <v>0.24013888888888885</v>
      </c>
      <c r="H38" s="197">
        <f>(z_travail*65%)+fc_repos</f>
        <v>147.95</v>
      </c>
      <c r="I38" s="100" t="s">
        <v>222</v>
      </c>
      <c r="J38" s="215" t="s">
        <v>160</v>
      </c>
      <c r="K38" s="186">
        <f>cat_km*140%</f>
        <v>0.24013888888888885</v>
      </c>
      <c r="L38" s="82">
        <f>(z_travail*65%)+fc_repos</f>
        <v>147.95</v>
      </c>
      <c r="M38" s="118" t="s">
        <v>222</v>
      </c>
      <c r="N38" s="246" t="s">
        <v>76</v>
      </c>
      <c r="O38" s="86"/>
      <c r="P38" s="82"/>
    </row>
    <row r="39" spans="1:16" ht="33.75" customHeight="1">
      <c r="A39" s="100" t="s">
        <v>226</v>
      </c>
      <c r="B39" s="237" t="s">
        <v>265</v>
      </c>
      <c r="C39" s="86" t="str">
        <f>(al_marathon)</f>
        <v>00:04:16</v>
      </c>
      <c r="D39" s="82">
        <f>fc_competition</f>
        <v>179.02985833333332</v>
      </c>
      <c r="E39" s="100" t="s">
        <v>226</v>
      </c>
      <c r="F39" s="237" t="s">
        <v>266</v>
      </c>
      <c r="G39" s="86" t="str">
        <f>(al_marathon)</f>
        <v>00:04:16</v>
      </c>
      <c r="H39" s="196">
        <f>fc_competition</f>
        <v>179.02985833333332</v>
      </c>
      <c r="I39" s="100" t="s">
        <v>226</v>
      </c>
      <c r="J39" s="231" t="s">
        <v>267</v>
      </c>
      <c r="K39" s="86" t="str">
        <f>(al_marathon)</f>
        <v>00:04:16</v>
      </c>
      <c r="L39" s="82">
        <f>fc_competition</f>
        <v>179.02985833333332</v>
      </c>
      <c r="M39" s="118" t="s">
        <v>226</v>
      </c>
      <c r="N39" s="218" t="s">
        <v>169</v>
      </c>
      <c r="O39" s="180">
        <f>cat_km*140%</f>
        <v>0.24013888888888885</v>
      </c>
      <c r="P39" s="80">
        <f>(z_travail*65%)+fc_repos</f>
        <v>147.95</v>
      </c>
    </row>
    <row r="40" spans="1:16" ht="33.75" customHeight="1">
      <c r="A40" s="100" t="s">
        <v>223</v>
      </c>
      <c r="B40" s="246" t="s">
        <v>76</v>
      </c>
      <c r="C40" s="86"/>
      <c r="D40" s="82"/>
      <c r="E40" s="100" t="s">
        <v>223</v>
      </c>
      <c r="F40" s="246" t="s">
        <v>76</v>
      </c>
      <c r="G40" s="86"/>
      <c r="H40" s="196"/>
      <c r="I40" s="100" t="s">
        <v>223</v>
      </c>
      <c r="J40" s="244" t="s">
        <v>76</v>
      </c>
      <c r="K40" s="86"/>
      <c r="L40" s="82"/>
      <c r="M40" s="118" t="s">
        <v>223</v>
      </c>
      <c r="N40" s="246" t="s">
        <v>76</v>
      </c>
      <c r="O40" s="86"/>
      <c r="P40" s="82"/>
    </row>
    <row r="41" spans="1:16" ht="33.75" customHeight="1">
      <c r="A41" s="100" t="s">
        <v>224</v>
      </c>
      <c r="B41" s="223" t="s">
        <v>262</v>
      </c>
      <c r="C41" s="180">
        <f>cat_km*140%</f>
        <v>0.24013888888888885</v>
      </c>
      <c r="D41" s="80">
        <f>(z_travail*65%)+fc_repos</f>
        <v>147.95</v>
      </c>
      <c r="E41" s="100" t="s">
        <v>224</v>
      </c>
      <c r="F41" s="218" t="s">
        <v>21</v>
      </c>
      <c r="G41" s="180">
        <f>cat_km*140%</f>
        <v>0.24013888888888885</v>
      </c>
      <c r="H41" s="197">
        <f>(z_travail*65%)+fc_repos</f>
        <v>147.95</v>
      </c>
      <c r="I41" s="100" t="s">
        <v>224</v>
      </c>
      <c r="J41" s="213" t="s">
        <v>260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46" t="s">
        <v>76</v>
      </c>
      <c r="O41" s="86"/>
      <c r="P41" s="82"/>
    </row>
    <row r="42" spans="1:16" ht="33.75" customHeight="1" thickBot="1">
      <c r="A42" s="101" t="s">
        <v>225</v>
      </c>
      <c r="B42" s="113" t="s">
        <v>173</v>
      </c>
      <c r="C42" s="177">
        <f>T_10k</f>
        <v>0.02968409586056645</v>
      </c>
      <c r="D42" s="112">
        <f>fc_competition</f>
        <v>179.02985833333332</v>
      </c>
      <c r="E42" s="101" t="s">
        <v>225</v>
      </c>
      <c r="F42" s="228" t="s">
        <v>258</v>
      </c>
      <c r="G42" s="181">
        <f>(cat_km)*145%</f>
        <v>0.24871527777777774</v>
      </c>
      <c r="H42" s="198">
        <f>(z_travail*61.5%)+fc_repos</f>
        <v>142.945</v>
      </c>
      <c r="I42" s="101" t="s">
        <v>225</v>
      </c>
      <c r="J42" s="220" t="s">
        <v>261</v>
      </c>
      <c r="K42" s="203">
        <f>cat_km*140%</f>
        <v>0.24013888888888885</v>
      </c>
      <c r="L42" s="84">
        <f>(z_travail*65%)+fc_repos</f>
        <v>147.95</v>
      </c>
      <c r="M42" s="119" t="s">
        <v>225</v>
      </c>
      <c r="N42" s="113" t="s">
        <v>87</v>
      </c>
      <c r="O42" s="177">
        <f>objectif</f>
        <v>0.125</v>
      </c>
      <c r="P42" s="112">
        <f>fc_competition</f>
        <v>179.02985833333332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workbookViewId="0" topLeftCell="A1">
      <selection activeCell="J7" sqref="J7"/>
    </sheetView>
  </sheetViews>
  <sheetFormatPr defaultColWidth="12.57421875" defaultRowHeight="12.75"/>
  <cols>
    <col min="1" max="1" width="16.8515625" style="0" customWidth="1"/>
    <col min="2" max="2" width="7.421875" style="0" bestFit="1" customWidth="1"/>
    <col min="3" max="4" width="7.140625" style="0" bestFit="1" customWidth="1"/>
    <col min="5" max="5" width="8.7109375" style="0" bestFit="1" customWidth="1"/>
    <col min="6" max="6" width="9.28125" style="0" bestFit="1" customWidth="1"/>
    <col min="7" max="9" width="7.140625" style="0" bestFit="1" customWidth="1"/>
    <col min="10" max="10" width="10.7109375" style="0" bestFit="1" customWidth="1"/>
    <col min="11" max="16384" width="12.421875" style="0" customWidth="1"/>
  </cols>
  <sheetData>
    <row r="6" ht="13.5" thickBot="1"/>
    <row r="7" spans="1:10" ht="20.25" thickBot="1">
      <c r="A7" s="97" t="s">
        <v>23</v>
      </c>
      <c r="B7" s="56" t="s">
        <v>24</v>
      </c>
      <c r="C7" s="57">
        <v>15</v>
      </c>
      <c r="D7" s="98" t="s">
        <v>25</v>
      </c>
      <c r="E7" s="13"/>
      <c r="F7" s="1"/>
      <c r="G7" s="1"/>
      <c r="H7" s="1"/>
      <c r="I7" s="1"/>
      <c r="J7" s="1"/>
    </row>
    <row r="8" spans="1:10" ht="16.5" thickBot="1">
      <c r="A8" s="13"/>
      <c r="B8" s="58"/>
      <c r="C8" s="59"/>
      <c r="D8" s="60"/>
      <c r="E8" s="13"/>
      <c r="F8" s="13"/>
      <c r="G8" s="13"/>
      <c r="H8" s="13"/>
      <c r="I8" s="13"/>
      <c r="J8" s="13"/>
    </row>
    <row r="9" spans="1:10" ht="15.75">
      <c r="A9" s="61"/>
      <c r="B9" s="416" t="s">
        <v>26</v>
      </c>
      <c r="C9" s="417"/>
      <c r="D9" s="417"/>
      <c r="E9" s="417"/>
      <c r="F9" s="417"/>
      <c r="G9" s="417"/>
      <c r="H9" s="417"/>
      <c r="I9" s="417"/>
      <c r="J9" s="418"/>
    </row>
    <row r="10" spans="1:10" ht="16.5" thickBot="1">
      <c r="A10" s="62" t="s">
        <v>27</v>
      </c>
      <c r="B10" s="419" t="s">
        <v>28</v>
      </c>
      <c r="C10" s="420"/>
      <c r="D10" s="420"/>
      <c r="E10" s="420"/>
      <c r="F10" s="420"/>
      <c r="G10" s="420"/>
      <c r="H10" s="420"/>
      <c r="I10" s="420"/>
      <c r="J10" s="421"/>
    </row>
    <row r="11" spans="1:10" ht="16.5" thickBot="1">
      <c r="A11" s="62" t="s">
        <v>29</v>
      </c>
      <c r="B11" s="94">
        <v>100</v>
      </c>
      <c r="C11" s="95">
        <v>200</v>
      </c>
      <c r="D11" s="95">
        <v>400</v>
      </c>
      <c r="E11" s="95">
        <v>600</v>
      </c>
      <c r="F11" s="95">
        <v>800</v>
      </c>
      <c r="G11" s="95">
        <v>1000</v>
      </c>
      <c r="H11" s="95">
        <v>1500</v>
      </c>
      <c r="I11" s="95">
        <v>2000</v>
      </c>
      <c r="J11" s="96">
        <v>3000</v>
      </c>
    </row>
    <row r="12" spans="1:10" ht="15">
      <c r="A12" s="63">
        <v>85</v>
      </c>
      <c r="B12" s="150">
        <f>((100*0.04167)/(C7*10*A12))</f>
        <v>0.0003268235294117647</v>
      </c>
      <c r="C12" s="151">
        <f>((200*0.04167)/(C7*10*A12))</f>
        <v>0.0006536470588235294</v>
      </c>
      <c r="D12" s="151">
        <f>((400*0.04167)/(C7*10*A12))</f>
        <v>0.0013072941176470588</v>
      </c>
      <c r="E12" s="151">
        <f>((600*0.04167)/(C7*10*A12))</f>
        <v>0.001960941176470588</v>
      </c>
      <c r="F12" s="151">
        <f>((800*0.04167)/(C7*10*A12))</f>
        <v>0.0026145882352941177</v>
      </c>
      <c r="G12" s="151">
        <f>((1000*0.04167)/(C7*10*A12))</f>
        <v>0.0032682352941176473</v>
      </c>
      <c r="H12" s="151">
        <f>((1500*0.04167)/(C7*10*A12))</f>
        <v>0.0049023529411764705</v>
      </c>
      <c r="I12" s="151">
        <f>((2000*0.04167)/(C7*10*A12))</f>
        <v>0.006536470588235295</v>
      </c>
      <c r="J12" s="152">
        <f>((3000*0.04167)/(C7*10*A12))</f>
        <v>0.009804705882352941</v>
      </c>
    </row>
    <row r="13" spans="1:10" ht="15">
      <c r="A13" s="64">
        <v>90</v>
      </c>
      <c r="B13" s="153">
        <f>((100*0.04167)/(C7*10*A13))</f>
        <v>0.00030866666666666667</v>
      </c>
      <c r="C13" s="154">
        <f>((200*0.04167)/(C7*10*A13))</f>
        <v>0.0006173333333333333</v>
      </c>
      <c r="D13" s="154">
        <f>((400*0.04167)/(C7*10*A13))</f>
        <v>0.0012346666666666667</v>
      </c>
      <c r="E13" s="154">
        <f>((600*0.04167)/(C7*10*A13))</f>
        <v>0.001852</v>
      </c>
      <c r="F13" s="154">
        <f>((800*0.04167)/(C7*10*A13))</f>
        <v>0.0024693333333333334</v>
      </c>
      <c r="G13" s="154">
        <f>((1000*0.04167)/(C7*10*A13))</f>
        <v>0.003086666666666667</v>
      </c>
      <c r="H13" s="154">
        <f>((1500*0.04167)/(C7*10*A13))</f>
        <v>0.00463</v>
      </c>
      <c r="I13" s="154">
        <f>((2000*0.04167)/(C7*10*A13))</f>
        <v>0.006173333333333334</v>
      </c>
      <c r="J13" s="155">
        <f>((3000*0.04167)/(C7*10*A13))</f>
        <v>0.00926</v>
      </c>
    </row>
    <row r="14" spans="1:10" ht="15">
      <c r="A14" s="65">
        <v>95</v>
      </c>
      <c r="B14" s="153">
        <f>((100*0.04167)/(C7*10*A14))</f>
        <v>0.00029242105263157896</v>
      </c>
      <c r="C14" s="154">
        <f>((200*0.04167)/(C7*10*A14))</f>
        <v>0.0005848421052631579</v>
      </c>
      <c r="D14" s="154">
        <f>((400*0.04167)/(C7*10*A14))</f>
        <v>0.0011696842105263158</v>
      </c>
      <c r="E14" s="154">
        <f>((600*0.04167)/(C7*10*A14))</f>
        <v>0.0017545263157894735</v>
      </c>
      <c r="F14" s="154">
        <f>((800*0.04167)/(C7*10*A14))</f>
        <v>0.0023393684210526317</v>
      </c>
      <c r="G14" s="154">
        <f>((1000*0.04167)/(C7*10*A14))</f>
        <v>0.0029242105263157896</v>
      </c>
      <c r="H14" s="154">
        <f>((1500*0.04167)/(C7*10*A14))</f>
        <v>0.0043863157894736835</v>
      </c>
      <c r="I14" s="154">
        <f>((2000*0.04167)/(C7*10*A14))</f>
        <v>0.005848421052631579</v>
      </c>
      <c r="J14" s="155">
        <f>((3000*0.04167)/(C7*10*A14))</f>
        <v>0.008772631578947367</v>
      </c>
    </row>
    <row r="15" spans="1:10" ht="15">
      <c r="A15" s="66">
        <v>100</v>
      </c>
      <c r="B15" s="153">
        <f>((100*0.04167)/(C7*10*A15))</f>
        <v>0.0002778</v>
      </c>
      <c r="C15" s="154">
        <f>((200*0.04167)/(C7*10*A15))</f>
        <v>0.0005556</v>
      </c>
      <c r="D15" s="154">
        <f>((400*0.04167)/(C7*10*A15))</f>
        <v>0.0011112</v>
      </c>
      <c r="E15" s="154">
        <f>((600*0.04167)/(C7*10*A15))</f>
        <v>0.0016668</v>
      </c>
      <c r="F15" s="154">
        <f>((800*0.04167)/(C7*10*A15))</f>
        <v>0.0022224</v>
      </c>
      <c r="G15" s="154">
        <f>((1000*0.04167)/(C7*10*A15))</f>
        <v>0.002778</v>
      </c>
      <c r="H15" s="154">
        <f>((1500*0.04167)/(C7*10*A15))</f>
        <v>0.004167</v>
      </c>
      <c r="I15" s="154">
        <f>((2000*0.04167)/(C7*10*A15))</f>
        <v>0.005556</v>
      </c>
      <c r="J15" s="155">
        <f>((3000*0.04167)/(C7*10*A15))</f>
        <v>0.008334</v>
      </c>
    </row>
    <row r="16" spans="1:10" ht="15">
      <c r="A16" s="66">
        <v>105</v>
      </c>
      <c r="B16" s="153">
        <f>((100*0.04167)/(C7*10*A16))</f>
        <v>0.0002645714285714286</v>
      </c>
      <c r="C16" s="154">
        <f>((200*0.04167)/(C7*10*A16))</f>
        <v>0.0005291428571428571</v>
      </c>
      <c r="D16" s="154">
        <f>((400*0.04167)/(C7*10*A16))</f>
        <v>0.0010582857142857143</v>
      </c>
      <c r="E16" s="154">
        <f>((600*0.04167)/(C7*10*A16))</f>
        <v>0.0015874285714285714</v>
      </c>
      <c r="F16" s="154">
        <f>((800*0.04167)/(C7*10*A16))</f>
        <v>0.0021165714285714286</v>
      </c>
      <c r="G16" s="154">
        <f>((1000*0.04167)/(C7*10*A16))</f>
        <v>0.002645714285714286</v>
      </c>
      <c r="H16" s="154">
        <f>((1500*0.04167)/(C7*10*A16))</f>
        <v>0.003968571428571428</v>
      </c>
      <c r="I16" s="154">
        <f>((2000*0.04167)/(C7*10*A16))</f>
        <v>0.005291428571428572</v>
      </c>
      <c r="J16" s="155">
        <f>((3000*0.04167)/(C7*10*A16))</f>
        <v>0.007937142857142856</v>
      </c>
    </row>
    <row r="17" spans="1:10" ht="15.75" thickBot="1">
      <c r="A17" s="67">
        <v>110</v>
      </c>
      <c r="B17" s="156">
        <f>((100*0.04167)/(C7*10*A17))</f>
        <v>0.0002525454545454545</v>
      </c>
      <c r="C17" s="157">
        <f>((200*0.04167)/(C7*10*A17))</f>
        <v>0.000505090909090909</v>
      </c>
      <c r="D17" s="157">
        <f>((400*0.04167)/(C7*10*A17))</f>
        <v>0.001010181818181818</v>
      </c>
      <c r="E17" s="157">
        <f>((600*0.04167)/(C7*10*A17))</f>
        <v>0.0015152727272727273</v>
      </c>
      <c r="F17" s="157">
        <f>((800*0.04167)/(C7*10*A17))</f>
        <v>0.002020363636363636</v>
      </c>
      <c r="G17" s="157">
        <f>((1000*0.04167)/(C7*10*A17))</f>
        <v>0.0025254545454545456</v>
      </c>
      <c r="H17" s="157">
        <f>((1500*0.04167)/(C7*10*A17))</f>
        <v>0.0037881818181818177</v>
      </c>
      <c r="I17" s="157">
        <f>((2000*0.04167)/(C7*10*A17))</f>
        <v>0.005050909090909091</v>
      </c>
      <c r="J17" s="158">
        <f>((3000*0.04167)/(C7*10*A17))</f>
        <v>0.007576363636363635</v>
      </c>
    </row>
    <row r="18" spans="1:10" s="1" customFormat="1" ht="15.75" thickBo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>
      <c r="A19" s="68" t="s">
        <v>30</v>
      </c>
      <c r="B19" s="69"/>
      <c r="C19" s="13"/>
      <c r="D19" s="1"/>
      <c r="E19" s="1"/>
      <c r="F19" s="1"/>
      <c r="G19" s="1"/>
      <c r="H19" s="1"/>
      <c r="I19" s="1"/>
      <c r="J19" s="1"/>
    </row>
    <row r="20" spans="1:10" ht="15.75" thickBot="1">
      <c r="A20" s="70" t="s">
        <v>31</v>
      </c>
      <c r="B20" s="71"/>
      <c r="C20" s="13"/>
      <c r="D20" s="1"/>
      <c r="E20" s="13"/>
      <c r="F20" s="13"/>
      <c r="G20" s="1"/>
      <c r="H20" s="1"/>
      <c r="I20" s="1"/>
      <c r="J20" s="1"/>
    </row>
    <row r="21" spans="1:10" ht="15.75" thickBot="1">
      <c r="A21" s="72" t="s">
        <v>32</v>
      </c>
      <c r="B21" s="73"/>
      <c r="C21" s="74" t="s">
        <v>33</v>
      </c>
      <c r="D21" s="13"/>
      <c r="E21" s="75" t="s">
        <v>34</v>
      </c>
      <c r="F21" s="105" t="e">
        <f>(B21*0.04167)/(C7*10*B20)</f>
        <v>#DIV/0!</v>
      </c>
      <c r="G21" s="13"/>
      <c r="H21" s="1"/>
      <c r="I21" s="1"/>
      <c r="J21" s="1"/>
    </row>
    <row r="22" spans="1:10" s="1" customFormat="1" ht="15.7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 thickBot="1">
      <c r="A23" s="422"/>
      <c r="B23" s="88" t="s">
        <v>35</v>
      </c>
      <c r="C23" s="424" t="s">
        <v>36</v>
      </c>
      <c r="D23" s="425"/>
      <c r="E23" s="428" t="s">
        <v>37</v>
      </c>
      <c r="F23" s="428"/>
      <c r="G23" s="429" t="s">
        <v>38</v>
      </c>
      <c r="H23" s="430"/>
      <c r="I23" s="431"/>
      <c r="J23" s="435" t="s">
        <v>4</v>
      </c>
    </row>
    <row r="24" spans="1:10" ht="13.5" thickBot="1" thickTop="1">
      <c r="A24" s="423"/>
      <c r="B24" s="89" t="s">
        <v>39</v>
      </c>
      <c r="C24" s="426"/>
      <c r="D24" s="427"/>
      <c r="E24" s="437" t="s">
        <v>40</v>
      </c>
      <c r="F24" s="437"/>
      <c r="G24" s="432"/>
      <c r="H24" s="433"/>
      <c r="I24" s="434"/>
      <c r="J24" s="436"/>
    </row>
    <row r="25" spans="1:10" ht="12.75" thickBot="1">
      <c r="A25" s="408" t="s">
        <v>41</v>
      </c>
      <c r="B25" s="410" t="s">
        <v>42</v>
      </c>
      <c r="C25" s="412">
        <v>0.7</v>
      </c>
      <c r="D25" s="412"/>
      <c r="E25" s="414" t="s">
        <v>43</v>
      </c>
      <c r="F25" s="414"/>
      <c r="G25" s="405"/>
      <c r="H25" s="405"/>
      <c r="I25" s="405"/>
      <c r="J25" s="406" t="s">
        <v>44</v>
      </c>
    </row>
    <row r="26" spans="1:10" ht="12.75" thickTop="1">
      <c r="A26" s="409"/>
      <c r="B26" s="411"/>
      <c r="C26" s="413"/>
      <c r="D26" s="413"/>
      <c r="E26" s="415"/>
      <c r="F26" s="415"/>
      <c r="G26" s="159">
        <v>90</v>
      </c>
      <c r="H26" s="160">
        <v>1</v>
      </c>
      <c r="I26" s="159">
        <v>105</v>
      </c>
      <c r="J26" s="407"/>
    </row>
    <row r="27" spans="1:10" ht="12.75">
      <c r="A27" s="90" t="s">
        <v>45</v>
      </c>
      <c r="B27" s="161"/>
      <c r="C27" s="401"/>
      <c r="D27" s="401"/>
      <c r="E27" s="373" t="s">
        <v>46</v>
      </c>
      <c r="F27" s="373"/>
      <c r="G27" s="374" t="s">
        <v>24</v>
      </c>
      <c r="H27" s="374"/>
      <c r="I27" s="374"/>
      <c r="J27" s="163"/>
    </row>
    <row r="28" spans="1:10" ht="25.5">
      <c r="A28" s="90" t="s">
        <v>47</v>
      </c>
      <c r="B28" s="164"/>
      <c r="C28" s="402">
        <v>0.8</v>
      </c>
      <c r="D28" s="402"/>
      <c r="E28" s="403">
        <v>0.9</v>
      </c>
      <c r="F28" s="403"/>
      <c r="G28" s="404" t="s">
        <v>48</v>
      </c>
      <c r="H28" s="404"/>
      <c r="I28" s="404"/>
      <c r="J28" s="165"/>
    </row>
    <row r="29" spans="1:10" ht="12.75">
      <c r="A29" s="90" t="s">
        <v>49</v>
      </c>
      <c r="B29" s="166" t="s">
        <v>50</v>
      </c>
      <c r="C29" s="392" t="s">
        <v>51</v>
      </c>
      <c r="D29" s="392"/>
      <c r="E29" s="393" t="s">
        <v>52</v>
      </c>
      <c r="F29" s="393"/>
      <c r="G29" s="382" t="s">
        <v>53</v>
      </c>
      <c r="H29" s="382"/>
      <c r="I29" s="382"/>
      <c r="J29" s="167" t="s">
        <v>54</v>
      </c>
    </row>
    <row r="30" spans="1:10" ht="12.75">
      <c r="A30" s="90" t="s">
        <v>55</v>
      </c>
      <c r="B30" s="161"/>
      <c r="C30" s="401"/>
      <c r="D30" s="401"/>
      <c r="E30" s="373"/>
      <c r="F30" s="373"/>
      <c r="G30" s="397"/>
      <c r="H30" s="397"/>
      <c r="I30" s="397"/>
      <c r="J30" s="163"/>
    </row>
    <row r="31" spans="1:10" ht="12">
      <c r="A31" s="375" t="s">
        <v>56</v>
      </c>
      <c r="B31" s="398" t="s">
        <v>57</v>
      </c>
      <c r="C31" s="399" t="s">
        <v>58</v>
      </c>
      <c r="D31" s="399"/>
      <c r="E31" s="393"/>
      <c r="F31" s="393"/>
      <c r="G31" s="400"/>
      <c r="H31" s="400"/>
      <c r="I31" s="400"/>
      <c r="J31" s="381" t="s">
        <v>59</v>
      </c>
    </row>
    <row r="32" spans="1:10" ht="12">
      <c r="A32" s="375"/>
      <c r="B32" s="398"/>
      <c r="C32" s="399"/>
      <c r="D32" s="399"/>
      <c r="E32" s="169" t="s">
        <v>60</v>
      </c>
      <c r="F32" s="162" t="s">
        <v>61</v>
      </c>
      <c r="G32" s="168" t="s">
        <v>62</v>
      </c>
      <c r="H32" s="168" t="s">
        <v>63</v>
      </c>
      <c r="I32" s="168" t="s">
        <v>64</v>
      </c>
      <c r="J32" s="381"/>
    </row>
    <row r="33" spans="1:10" ht="12">
      <c r="A33" s="390" t="s">
        <v>65</v>
      </c>
      <c r="B33" s="391" t="s">
        <v>66</v>
      </c>
      <c r="C33" s="392"/>
      <c r="D33" s="392"/>
      <c r="E33" s="393" t="s">
        <v>67</v>
      </c>
      <c r="F33" s="393"/>
      <c r="G33" s="382" t="s">
        <v>68</v>
      </c>
      <c r="H33" s="382"/>
      <c r="I33" s="382"/>
      <c r="J33" s="383" t="s">
        <v>69</v>
      </c>
    </row>
    <row r="34" spans="1:10" ht="12">
      <c r="A34" s="390"/>
      <c r="B34" s="391"/>
      <c r="C34" s="170">
        <v>10</v>
      </c>
      <c r="D34" s="171">
        <v>11</v>
      </c>
      <c r="E34" s="393"/>
      <c r="F34" s="393"/>
      <c r="G34" s="382"/>
      <c r="H34" s="382"/>
      <c r="I34" s="382"/>
      <c r="J34" s="383"/>
    </row>
    <row r="35" spans="1:10" ht="12.75">
      <c r="A35" s="91" t="s">
        <v>70</v>
      </c>
      <c r="B35" s="161"/>
      <c r="C35" s="371" t="s">
        <v>71</v>
      </c>
      <c r="D35" s="372"/>
      <c r="E35" s="373" t="s">
        <v>72</v>
      </c>
      <c r="F35" s="373"/>
      <c r="G35" s="374" t="s">
        <v>73</v>
      </c>
      <c r="H35" s="374"/>
      <c r="I35" s="374"/>
      <c r="J35" s="163"/>
    </row>
    <row r="36" spans="1:10" ht="12">
      <c r="A36" s="375" t="s">
        <v>74</v>
      </c>
      <c r="B36" s="376" t="s">
        <v>1</v>
      </c>
      <c r="C36" s="377"/>
      <c r="D36" s="377"/>
      <c r="E36" s="378" t="s">
        <v>2</v>
      </c>
      <c r="F36" s="378"/>
      <c r="G36" s="379" t="s">
        <v>3</v>
      </c>
      <c r="H36" s="379"/>
      <c r="I36" s="379"/>
      <c r="J36" s="172" t="s">
        <v>4</v>
      </c>
    </row>
    <row r="37" spans="1:10" ht="12">
      <c r="A37" s="375"/>
      <c r="B37" s="394" t="s">
        <v>5</v>
      </c>
      <c r="C37" s="395"/>
      <c r="D37" s="395"/>
      <c r="E37" s="396" t="s">
        <v>6</v>
      </c>
      <c r="F37" s="396"/>
      <c r="G37" s="380" t="s">
        <v>7</v>
      </c>
      <c r="H37" s="380"/>
      <c r="I37" s="380"/>
      <c r="J37" s="173" t="s">
        <v>8</v>
      </c>
    </row>
    <row r="38" spans="1:10" ht="21" customHeight="1" thickBot="1">
      <c r="A38" s="92" t="s">
        <v>16</v>
      </c>
      <c r="B38" s="384" t="s">
        <v>15</v>
      </c>
      <c r="C38" s="385"/>
      <c r="D38" s="385"/>
      <c r="E38" s="385"/>
      <c r="F38" s="385"/>
      <c r="G38" s="385"/>
      <c r="H38" s="385"/>
      <c r="I38" s="386"/>
      <c r="J38" s="93" t="s">
        <v>9</v>
      </c>
    </row>
    <row r="39" spans="1:10" ht="15">
      <c r="A39" s="387" t="s">
        <v>10</v>
      </c>
      <c r="B39" s="388"/>
      <c r="C39" s="388"/>
      <c r="D39" s="388"/>
      <c r="E39" s="388"/>
      <c r="F39" s="388"/>
      <c r="G39" s="388"/>
      <c r="H39" s="388"/>
      <c r="I39" s="388"/>
      <c r="J39" s="389"/>
    </row>
    <row r="40" spans="1:10" ht="15.75" thickBot="1">
      <c r="A40" s="368" t="s">
        <v>11</v>
      </c>
      <c r="B40" s="369"/>
      <c r="C40" s="369"/>
      <c r="D40" s="369"/>
      <c r="E40" s="369"/>
      <c r="F40" s="369"/>
      <c r="G40" s="369"/>
      <c r="H40" s="369"/>
      <c r="I40" s="369"/>
      <c r="J40" s="370"/>
    </row>
  </sheetData>
  <sheetProtection password="F7AF" sheet="1" objects="1" scenarios="1"/>
  <mergeCells count="51">
    <mergeCell ref="B9:J9"/>
    <mergeCell ref="B10:J10"/>
    <mergeCell ref="A23:A24"/>
    <mergeCell ref="C23:D24"/>
    <mergeCell ref="E23:F23"/>
    <mergeCell ref="G23:I24"/>
    <mergeCell ref="J23:J24"/>
    <mergeCell ref="E24:F24"/>
    <mergeCell ref="G25:I25"/>
    <mergeCell ref="J25:J26"/>
    <mergeCell ref="C27:D27"/>
    <mergeCell ref="E27:F27"/>
    <mergeCell ref="G27:I27"/>
    <mergeCell ref="A25:A26"/>
    <mergeCell ref="B25:B26"/>
    <mergeCell ref="C25:D26"/>
    <mergeCell ref="E25:F26"/>
    <mergeCell ref="C28:D28"/>
    <mergeCell ref="E28:F28"/>
    <mergeCell ref="G28:I28"/>
    <mergeCell ref="C29:D29"/>
    <mergeCell ref="E29:F29"/>
    <mergeCell ref="G29:I29"/>
    <mergeCell ref="G30:I30"/>
    <mergeCell ref="A31:A32"/>
    <mergeCell ref="B31:B32"/>
    <mergeCell ref="C31:D32"/>
    <mergeCell ref="E31:F31"/>
    <mergeCell ref="G31:I31"/>
    <mergeCell ref="C30:D30"/>
    <mergeCell ref="E30:F30"/>
    <mergeCell ref="J31:J32"/>
    <mergeCell ref="G33:I34"/>
    <mergeCell ref="J33:J34"/>
    <mergeCell ref="B38:I38"/>
    <mergeCell ref="A39:J39"/>
    <mergeCell ref="A33:A34"/>
    <mergeCell ref="B33:B34"/>
    <mergeCell ref="C33:D33"/>
    <mergeCell ref="E33:F34"/>
    <mergeCell ref="B37:D37"/>
    <mergeCell ref="A40:J40"/>
    <mergeCell ref="C35:D35"/>
    <mergeCell ref="E35:F35"/>
    <mergeCell ref="G35:I35"/>
    <mergeCell ref="A36:A37"/>
    <mergeCell ref="B36:D36"/>
    <mergeCell ref="E36:F36"/>
    <mergeCell ref="G36:I36"/>
    <mergeCell ref="G37:I37"/>
    <mergeCell ref="E37:F37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4:P42"/>
  <sheetViews>
    <sheetView workbookViewId="0" topLeftCell="A16">
      <selection activeCell="M31" sqref="M31"/>
    </sheetView>
  </sheetViews>
  <sheetFormatPr defaultColWidth="11.421875" defaultRowHeight="33.75" customHeight="1"/>
  <cols>
    <col min="1" max="1" width="6.7109375" style="0" customWidth="1"/>
    <col min="2" max="2" width="16.421875" style="14" customWidth="1"/>
    <col min="3" max="3" width="7.7109375" style="0" customWidth="1"/>
    <col min="4" max="4" width="3.421875" style="15" bestFit="1" customWidth="1"/>
    <col min="5" max="5" width="6.7109375" style="0" customWidth="1"/>
    <col min="6" max="6" width="16.421875" style="14" customWidth="1"/>
    <col min="7" max="7" width="7.7109375" style="0" customWidth="1"/>
    <col min="8" max="8" width="4.00390625" style="15" bestFit="1" customWidth="1"/>
    <col min="9" max="9" width="6.7109375" style="0" customWidth="1"/>
    <col min="10" max="10" width="16.421875" style="14" customWidth="1"/>
    <col min="11" max="11" width="7.7109375" style="0" customWidth="1"/>
    <col min="12" max="12" width="4.00390625" style="15" customWidth="1"/>
    <col min="13" max="13" width="6.7109375" style="0" customWidth="1"/>
    <col min="14" max="14" width="16.421875" style="14" customWidth="1"/>
    <col min="15" max="15" width="7.7109375" style="0" customWidth="1"/>
    <col min="16" max="16" width="3.421875" style="15" bestFit="1" customWidth="1"/>
    <col min="19" max="19" width="11.421875" style="251" customWidth="1"/>
  </cols>
  <sheetData>
    <row r="3" ht="33.75" customHeight="1" thickBot="1"/>
    <row r="4" spans="1:16" ht="33.75" customHeight="1" thickBot="1">
      <c r="A4" s="102"/>
      <c r="B4" s="366" t="s">
        <v>84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103"/>
      <c r="P4" s="104"/>
    </row>
    <row r="5" spans="1:16" ht="33.75" customHeight="1" thickBot="1">
      <c r="A5" s="76"/>
      <c r="B5" s="77" t="e">
        <f>"semaine du "&amp;TEXT(mdate-83,"jj/mm")&amp;" au "&amp;TEXT(mdate-77,"jj/mm")</f>
        <v>#VALUE!</v>
      </c>
      <c r="C5" s="77" t="s">
        <v>182</v>
      </c>
      <c r="D5" s="78" t="s">
        <v>75</v>
      </c>
      <c r="E5" s="76"/>
      <c r="F5" s="77" t="e">
        <f>"semaine du "&amp;TEXT(mdate-76,"jj/mm")&amp;" au "&amp;TEXT(mdate-70,"jj/mm")</f>
        <v>#VALUE!</v>
      </c>
      <c r="G5" s="79" t="s">
        <v>182</v>
      </c>
      <c r="H5" s="78" t="s">
        <v>75</v>
      </c>
      <c r="I5" s="76"/>
      <c r="J5" s="77" t="e">
        <f>"semaine du "&amp;TEXT(mdate-69,"jj/mm")&amp;" au "&amp;TEXT(mdate-63,"jj/mm")</f>
        <v>#VALUE!</v>
      </c>
      <c r="K5" s="77" t="s">
        <v>182</v>
      </c>
      <c r="L5" s="78" t="s">
        <v>75</v>
      </c>
      <c r="M5" s="76"/>
      <c r="N5" s="77" t="e">
        <f>"semaine du "&amp;TEXT(mdate-62,"jj/mm")&amp;" au "&amp;TEXT(mdate-56,"jj/mm")</f>
        <v>#VALUE!</v>
      </c>
      <c r="O5" s="77" t="s">
        <v>182</v>
      </c>
      <c r="P5" s="78" t="s">
        <v>75</v>
      </c>
    </row>
    <row r="6" spans="1:16" ht="33.75" customHeight="1">
      <c r="A6" s="114" t="s">
        <v>228</v>
      </c>
      <c r="B6" s="250" t="s">
        <v>76</v>
      </c>
      <c r="C6" s="115"/>
      <c r="D6" s="116"/>
      <c r="E6" s="114" t="s">
        <v>228</v>
      </c>
      <c r="F6" s="250" t="s">
        <v>76</v>
      </c>
      <c r="G6" s="115"/>
      <c r="H6" s="116"/>
      <c r="I6" s="114" t="s">
        <v>228</v>
      </c>
      <c r="J6" s="250" t="s">
        <v>76</v>
      </c>
      <c r="K6" s="115"/>
      <c r="L6" s="116"/>
      <c r="M6" s="114" t="s">
        <v>228</v>
      </c>
      <c r="N6" s="250" t="s">
        <v>76</v>
      </c>
      <c r="O6" s="115"/>
      <c r="P6" s="116"/>
    </row>
    <row r="7" spans="1:16" ht="33.75" customHeight="1">
      <c r="A7" s="100" t="s">
        <v>227</v>
      </c>
      <c r="B7" s="218" t="s">
        <v>160</v>
      </c>
      <c r="C7" s="180">
        <f>cat_km*140%</f>
        <v>0.24013888888888885</v>
      </c>
      <c r="D7" s="80">
        <f>(z_travail*65%)+fc_repos</f>
        <v>147.95</v>
      </c>
      <c r="E7" s="100" t="s">
        <v>227</v>
      </c>
      <c r="F7" s="218" t="s">
        <v>160</v>
      </c>
      <c r="G7" s="180">
        <f>cat_km*140%</f>
        <v>0.24013888888888885</v>
      </c>
      <c r="H7" s="80">
        <f>(z_travail*65%)+fc_repos</f>
        <v>147.95</v>
      </c>
      <c r="I7" s="100" t="s">
        <v>227</v>
      </c>
      <c r="J7" s="218" t="s">
        <v>21</v>
      </c>
      <c r="K7" s="180">
        <f>cat_km*140%</f>
        <v>0.24013888888888885</v>
      </c>
      <c r="L7" s="80">
        <f>(z_travail*65%)+fc_repos</f>
        <v>147.95</v>
      </c>
      <c r="M7" s="100" t="s">
        <v>227</v>
      </c>
      <c r="N7" s="218" t="s">
        <v>160</v>
      </c>
      <c r="O7" s="180">
        <f>cat_km*140%</f>
        <v>0.24013888888888885</v>
      </c>
      <c r="P7" s="80">
        <f>(z_travail*65%)+fc_repos</f>
        <v>147.95</v>
      </c>
    </row>
    <row r="8" spans="1:16" ht="33.75" customHeight="1">
      <c r="A8" s="100" t="s">
        <v>222</v>
      </c>
      <c r="B8" s="246" t="s">
        <v>76</v>
      </c>
      <c r="C8" s="86"/>
      <c r="D8" s="82"/>
      <c r="E8" s="100" t="s">
        <v>222</v>
      </c>
      <c r="F8" s="246" t="s">
        <v>76</v>
      </c>
      <c r="G8" s="86"/>
      <c r="H8" s="82"/>
      <c r="I8" s="100" t="s">
        <v>222</v>
      </c>
      <c r="J8" s="246" t="s">
        <v>76</v>
      </c>
      <c r="K8" s="86"/>
      <c r="L8" s="82"/>
      <c r="M8" s="100" t="s">
        <v>222</v>
      </c>
      <c r="N8" s="246" t="s">
        <v>76</v>
      </c>
      <c r="O8" s="86"/>
      <c r="P8" s="82"/>
    </row>
    <row r="9" spans="1:16" ht="33.75" customHeight="1">
      <c r="A9" s="100" t="s">
        <v>226</v>
      </c>
      <c r="B9" s="236" t="s">
        <v>273</v>
      </c>
      <c r="C9" s="86">
        <f>(al_marathon)/1000*400</f>
        <v>0.0011851851851851852</v>
      </c>
      <c r="D9" s="82">
        <f>fc_competition</f>
        <v>179.02985833333332</v>
      </c>
      <c r="E9" s="100" t="s">
        <v>226</v>
      </c>
      <c r="F9" s="106" t="s">
        <v>276</v>
      </c>
      <c r="G9" s="110">
        <f>cat_vitesse*30</f>
        <v>121.62162162162163</v>
      </c>
      <c r="H9" s="82">
        <f>fc_ana*105%</f>
        <v>179.37150000000003</v>
      </c>
      <c r="I9" s="100" t="s">
        <v>226</v>
      </c>
      <c r="J9" s="236" t="s">
        <v>278</v>
      </c>
      <c r="K9" s="86">
        <f>(al_marathon)/1000*700</f>
        <v>0.002074074074074074</v>
      </c>
      <c r="L9" s="82">
        <f>fc_competition</f>
        <v>179.02985833333332</v>
      </c>
      <c r="M9" s="100" t="s">
        <v>226</v>
      </c>
      <c r="N9" s="237" t="s">
        <v>280</v>
      </c>
      <c r="O9" s="86">
        <f>(al_marathon)/1000*900</f>
        <v>0.0026666666666666666</v>
      </c>
      <c r="P9" s="82">
        <f>fc_competition</f>
        <v>179.02985833333332</v>
      </c>
    </row>
    <row r="10" spans="1:16" ht="33.75" customHeight="1">
      <c r="A10" s="100" t="s">
        <v>223</v>
      </c>
      <c r="B10" s="218" t="s">
        <v>21</v>
      </c>
      <c r="C10" s="180">
        <f>cat_km*140%</f>
        <v>0.24013888888888885</v>
      </c>
      <c r="D10" s="80">
        <f>(z_travail*65%)+fc_repos</f>
        <v>147.95</v>
      </c>
      <c r="E10" s="100" t="s">
        <v>223</v>
      </c>
      <c r="F10" s="218" t="s">
        <v>21</v>
      </c>
      <c r="G10" s="180">
        <f>cat_km*140%</f>
        <v>0.24013888888888885</v>
      </c>
      <c r="H10" s="80">
        <f>(z_travail*65%)+fc_repos</f>
        <v>147.95</v>
      </c>
      <c r="I10" s="100" t="s">
        <v>223</v>
      </c>
      <c r="J10" s="243" t="s">
        <v>307</v>
      </c>
      <c r="K10" s="86">
        <f>((vma_obj_km*90%)/1000)*200</f>
        <v>0.0004541666666666667</v>
      </c>
      <c r="L10" s="82">
        <f>fc_vma*105%</f>
        <v>188.34007500000004</v>
      </c>
      <c r="M10" s="100" t="s">
        <v>223</v>
      </c>
      <c r="N10" s="246" t="s">
        <v>76</v>
      </c>
      <c r="O10" s="86"/>
      <c r="P10" s="82"/>
    </row>
    <row r="11" spans="1:16" ht="33.75" customHeight="1">
      <c r="A11" s="100" t="s">
        <v>224</v>
      </c>
      <c r="B11" s="246" t="s">
        <v>76</v>
      </c>
      <c r="C11" s="86"/>
      <c r="D11" s="82"/>
      <c r="E11" s="100" t="s">
        <v>224</v>
      </c>
      <c r="F11" s="246" t="s">
        <v>76</v>
      </c>
      <c r="G11" s="86"/>
      <c r="H11" s="82"/>
      <c r="I11" s="100" t="s">
        <v>224</v>
      </c>
      <c r="J11" s="246" t="s">
        <v>76</v>
      </c>
      <c r="K11" s="86"/>
      <c r="L11" s="82"/>
      <c r="M11" s="100" t="s">
        <v>224</v>
      </c>
      <c r="N11" s="218" t="s">
        <v>160</v>
      </c>
      <c r="O11" s="180">
        <f>cat_km*140%</f>
        <v>0.24013888888888885</v>
      </c>
      <c r="P11" s="80">
        <f>(z_travail*65%)+fc_repos</f>
        <v>147.95</v>
      </c>
    </row>
    <row r="12" spans="1:16" ht="33.75" customHeight="1" thickBot="1">
      <c r="A12" s="101" t="s">
        <v>225</v>
      </c>
      <c r="B12" s="228" t="s">
        <v>272</v>
      </c>
      <c r="C12" s="181">
        <f>(cat_km)*145%</f>
        <v>0.24871527777777774</v>
      </c>
      <c r="D12" s="84">
        <f>(z_travail*61.5%)+fc_repos</f>
        <v>142.945</v>
      </c>
      <c r="E12" s="101" t="s">
        <v>225</v>
      </c>
      <c r="F12" s="228" t="s">
        <v>277</v>
      </c>
      <c r="G12" s="181">
        <f>(cat_km)*145%</f>
        <v>0.24871527777777774</v>
      </c>
      <c r="H12" s="84">
        <f>(z_travail*61.5%)+fc_repos</f>
        <v>142.945</v>
      </c>
      <c r="I12" s="101" t="s">
        <v>225</v>
      </c>
      <c r="J12" s="228" t="s">
        <v>247</v>
      </c>
      <c r="K12" s="181">
        <f>(cat_km)*145%</f>
        <v>0.24871527777777774</v>
      </c>
      <c r="L12" s="84">
        <f>(z_travail*61.5%)+fc_repos</f>
        <v>142.945</v>
      </c>
      <c r="M12" s="101" t="s">
        <v>225</v>
      </c>
      <c r="N12" s="228" t="s">
        <v>279</v>
      </c>
      <c r="O12" s="181">
        <f>(cat_km)*145%</f>
        <v>0.24871527777777774</v>
      </c>
      <c r="P12" s="84">
        <f>(z_travail*61.5%)+fc_repos</f>
        <v>142.945</v>
      </c>
    </row>
    <row r="18" ht="33.75" customHeight="1" thickBot="1"/>
    <row r="19" spans="1:16" ht="33.75" customHeight="1" thickBot="1">
      <c r="A19" s="102"/>
      <c r="B19" s="366" t="s">
        <v>86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03"/>
      <c r="P19" s="104"/>
    </row>
    <row r="20" spans="1:16" ht="33.75" customHeight="1" thickBot="1">
      <c r="A20" s="76"/>
      <c r="B20" s="47" t="e">
        <f>"semaine du "&amp;TEXT(mdate-55,"jj/mm")&amp;" au "&amp;TEXT(mdate-49,"jj/mm")</f>
        <v>#VALUE!</v>
      </c>
      <c r="C20" s="49"/>
      <c r="D20" s="48"/>
      <c r="E20" s="76"/>
      <c r="F20" s="47" t="e">
        <f>"semaine du "&amp;TEXT(mdate-48,"jj/mm")&amp;" au "&amp;TEXT(mdate-42,"jj/mm")</f>
        <v>#VALUE!</v>
      </c>
      <c r="G20" s="49"/>
      <c r="H20" s="48"/>
      <c r="I20" s="76"/>
      <c r="J20" s="47" t="e">
        <f>"semaine du "&amp;TEXT(mdate-41,"jj/mm")&amp;" au "&amp;TEXT(mdate-35,"jj/mm")</f>
        <v>#VALUE!</v>
      </c>
      <c r="K20" s="50"/>
      <c r="L20" s="48"/>
      <c r="M20" s="76"/>
      <c r="N20" s="47" t="e">
        <f>"semaine du "&amp;TEXT(mdate-34,"jj/mm")&amp;" au "&amp;TEXT(mdate-28,"jj/mm")</f>
        <v>#VALUE!</v>
      </c>
      <c r="O20" s="50"/>
      <c r="P20" s="48"/>
    </row>
    <row r="21" spans="1:16" ht="33.75" customHeight="1">
      <c r="A21" s="114" t="s">
        <v>228</v>
      </c>
      <c r="B21" s="250" t="s">
        <v>76</v>
      </c>
      <c r="C21" s="115"/>
      <c r="D21" s="116"/>
      <c r="E21" s="114" t="s">
        <v>228</v>
      </c>
      <c r="F21" s="250" t="s">
        <v>76</v>
      </c>
      <c r="G21" s="123"/>
      <c r="H21" s="124"/>
      <c r="I21" s="114" t="s">
        <v>228</v>
      </c>
      <c r="J21" s="250" t="s">
        <v>76</v>
      </c>
      <c r="K21" s="120"/>
      <c r="L21" s="125"/>
      <c r="M21" s="117" t="s">
        <v>228</v>
      </c>
      <c r="N21" s="250" t="s">
        <v>76</v>
      </c>
      <c r="O21" s="115"/>
      <c r="P21" s="116"/>
    </row>
    <row r="22" spans="1:16" ht="33.75" customHeight="1">
      <c r="A22" s="100" t="s">
        <v>227</v>
      </c>
      <c r="B22" s="218" t="s">
        <v>21</v>
      </c>
      <c r="C22" s="180">
        <f>cat_km*140%</f>
        <v>0.24013888888888885</v>
      </c>
      <c r="D22" s="82">
        <f>(z_travail*65%)+fc_repos</f>
        <v>147.95</v>
      </c>
      <c r="E22" s="100" t="s">
        <v>227</v>
      </c>
      <c r="F22" s="243" t="s">
        <v>308</v>
      </c>
      <c r="G22" s="86">
        <f>((vma_obj_km*95%)/1000)*400</f>
        <v>0.0009587962962962961</v>
      </c>
      <c r="H22" s="82">
        <f>fc_vma*102.5%</f>
        <v>183.85578750000002</v>
      </c>
      <c r="I22" s="100" t="s">
        <v>227</v>
      </c>
      <c r="J22" s="224" t="s">
        <v>160</v>
      </c>
      <c r="K22" s="186">
        <f>cat_km*140%</f>
        <v>0.24013888888888885</v>
      </c>
      <c r="L22" s="82">
        <f>(z_travail*65%)+fc_repos</f>
        <v>147.95</v>
      </c>
      <c r="M22" s="118" t="s">
        <v>227</v>
      </c>
      <c r="N22" s="218" t="s">
        <v>21</v>
      </c>
      <c r="O22" s="180">
        <f>cat_km*140%</f>
        <v>0.24013888888888885</v>
      </c>
      <c r="P22" s="80">
        <f>(z_travail*65%)+fc_repos</f>
        <v>147.95</v>
      </c>
    </row>
    <row r="23" spans="1:16" ht="33.75" customHeight="1">
      <c r="A23" s="100" t="s">
        <v>222</v>
      </c>
      <c r="B23" s="246" t="s">
        <v>76</v>
      </c>
      <c r="C23" s="86"/>
      <c r="D23" s="82"/>
      <c r="E23" s="100" t="s">
        <v>222</v>
      </c>
      <c r="F23" s="246" t="s">
        <v>76</v>
      </c>
      <c r="G23" s="86"/>
      <c r="H23" s="82"/>
      <c r="I23" s="100" t="s">
        <v>222</v>
      </c>
      <c r="J23" s="246" t="s">
        <v>76</v>
      </c>
      <c r="K23" s="86"/>
      <c r="L23" s="82"/>
      <c r="M23" s="118" t="s">
        <v>222</v>
      </c>
      <c r="N23" s="237" t="s">
        <v>283</v>
      </c>
      <c r="O23" s="86" t="str">
        <f>(al_marathon)</f>
        <v>00:04:16</v>
      </c>
      <c r="P23" s="82">
        <f>fc_competition</f>
        <v>179.02985833333332</v>
      </c>
    </row>
    <row r="24" spans="1:16" ht="33.75" customHeight="1">
      <c r="A24" s="100" t="s">
        <v>226</v>
      </c>
      <c r="B24" s="237" t="s">
        <v>282</v>
      </c>
      <c r="C24" s="86" t="str">
        <f>(al_marathon)</f>
        <v>00:04:16</v>
      </c>
      <c r="D24" s="82">
        <f>fc_competition</f>
        <v>179.02985833333332</v>
      </c>
      <c r="E24" s="100" t="s">
        <v>226</v>
      </c>
      <c r="F24" s="237" t="s">
        <v>283</v>
      </c>
      <c r="G24" s="86" t="str">
        <f>(al_marathon)</f>
        <v>00:04:16</v>
      </c>
      <c r="H24" s="82">
        <f>fc_competition</f>
        <v>179.02985833333332</v>
      </c>
      <c r="I24" s="100" t="s">
        <v>226</v>
      </c>
      <c r="J24" s="106" t="s">
        <v>172</v>
      </c>
      <c r="K24" s="110">
        <f>cat_vitesse*60</f>
        <v>243.24324324324326</v>
      </c>
      <c r="L24" s="82">
        <f>fc_ana*105%</f>
        <v>179.37150000000003</v>
      </c>
      <c r="M24" s="118" t="s">
        <v>226</v>
      </c>
      <c r="N24" s="246" t="s">
        <v>76</v>
      </c>
      <c r="O24" s="86"/>
      <c r="P24" s="82"/>
    </row>
    <row r="25" spans="1:16" ht="33.75" customHeight="1">
      <c r="A25" s="100" t="s">
        <v>223</v>
      </c>
      <c r="B25" s="218" t="s">
        <v>21</v>
      </c>
      <c r="C25" s="180">
        <f>cat_km*140%</f>
        <v>0.24013888888888885</v>
      </c>
      <c r="D25" s="82">
        <f>(z_travail*65%)+fc_repos</f>
        <v>147.95</v>
      </c>
      <c r="E25" s="100" t="s">
        <v>223</v>
      </c>
      <c r="F25" s="218" t="s">
        <v>160</v>
      </c>
      <c r="G25" s="180">
        <f>cat_km*140%</f>
        <v>0.24013888888888885</v>
      </c>
      <c r="H25" s="82">
        <f>(z_travail*65%)+fc_repos</f>
        <v>147.95</v>
      </c>
      <c r="I25" s="100" t="s">
        <v>223</v>
      </c>
      <c r="J25" s="246" t="s">
        <v>76</v>
      </c>
      <c r="K25" s="86"/>
      <c r="L25" s="82"/>
      <c r="M25" s="118" t="s">
        <v>223</v>
      </c>
      <c r="N25" s="218" t="s">
        <v>21</v>
      </c>
      <c r="O25" s="180">
        <f>cat_km*140%</f>
        <v>0.24013888888888885</v>
      </c>
      <c r="P25" s="80">
        <f>(z_travail*65%)+fc_repos</f>
        <v>147.95</v>
      </c>
    </row>
    <row r="26" spans="1:16" ht="33.75" customHeight="1">
      <c r="A26" s="100" t="s">
        <v>224</v>
      </c>
      <c r="B26" s="246" t="s">
        <v>76</v>
      </c>
      <c r="C26" s="86"/>
      <c r="D26" s="82"/>
      <c r="E26" s="100" t="s">
        <v>224</v>
      </c>
      <c r="F26" s="246" t="s">
        <v>76</v>
      </c>
      <c r="G26" s="86"/>
      <c r="H26" s="82"/>
      <c r="I26" s="100" t="s">
        <v>224</v>
      </c>
      <c r="J26" s="223" t="s">
        <v>284</v>
      </c>
      <c r="K26" s="180">
        <f>cat_km*140%</f>
        <v>0.24013888888888885</v>
      </c>
      <c r="L26" s="80">
        <f>(z_travail*65%)+fc_repos</f>
        <v>147.95</v>
      </c>
      <c r="M26" s="118" t="s">
        <v>224</v>
      </c>
      <c r="N26" s="246" t="s">
        <v>76</v>
      </c>
      <c r="O26" s="86"/>
      <c r="P26" s="82"/>
    </row>
    <row r="27" spans="1:16" ht="33.75" customHeight="1" thickBot="1">
      <c r="A27" s="101" t="s">
        <v>225</v>
      </c>
      <c r="B27" s="228" t="s">
        <v>281</v>
      </c>
      <c r="C27" s="181">
        <f>(cat_km)*145%</f>
        <v>0.24871527777777774</v>
      </c>
      <c r="D27" s="84">
        <f>(z_travail*61.5%)+fc_repos</f>
        <v>142.945</v>
      </c>
      <c r="E27" s="101" t="s">
        <v>225</v>
      </c>
      <c r="F27" s="228" t="s">
        <v>255</v>
      </c>
      <c r="G27" s="181">
        <f>(cat_km)*145%</f>
        <v>0.24871527777777774</v>
      </c>
      <c r="H27" s="84">
        <f>(z_travail*61.5%)+fc_repos</f>
        <v>142.945</v>
      </c>
      <c r="I27" s="101" t="s">
        <v>225</v>
      </c>
      <c r="J27" s="113" t="s">
        <v>85</v>
      </c>
      <c r="K27" s="177">
        <f>T_semi</f>
        <v>0.06262602124183007</v>
      </c>
      <c r="L27" s="112">
        <f>fc_competition</f>
        <v>179.02985833333332</v>
      </c>
      <c r="M27" s="119" t="s">
        <v>225</v>
      </c>
      <c r="N27" s="230" t="s">
        <v>221</v>
      </c>
      <c r="O27" s="181">
        <f>(cat_km)*145%</f>
        <v>0.24871527777777774</v>
      </c>
      <c r="P27" s="84">
        <f>(z_travail*61.5%)+fc_repos</f>
        <v>142.945</v>
      </c>
    </row>
    <row r="28" spans="1:13" ht="33.75" customHeight="1">
      <c r="A28" s="51"/>
      <c r="B28" s="51"/>
      <c r="C28" s="52"/>
      <c r="D28" s="53"/>
      <c r="E28" s="51"/>
      <c r="F28" s="51"/>
      <c r="G28" s="54"/>
      <c r="H28" s="53"/>
      <c r="I28" s="51"/>
      <c r="J28" s="55"/>
      <c r="K28" s="54"/>
      <c r="L28" s="53"/>
      <c r="M28" s="51"/>
    </row>
    <row r="29" spans="1:13" ht="33.75" customHeight="1">
      <c r="A29" s="51"/>
      <c r="B29" s="51"/>
      <c r="C29" s="52"/>
      <c r="D29" s="53"/>
      <c r="E29" s="51"/>
      <c r="F29" s="51"/>
      <c r="G29" s="54"/>
      <c r="H29" s="53"/>
      <c r="I29" s="51"/>
      <c r="J29" s="55"/>
      <c r="K29" s="54"/>
      <c r="L29" s="53"/>
      <c r="M29" s="51"/>
    </row>
    <row r="30" spans="1:13" ht="33.75" customHeight="1">
      <c r="A30" s="51"/>
      <c r="B30" s="51"/>
      <c r="C30" s="52"/>
      <c r="D30" s="53"/>
      <c r="E30" s="51"/>
      <c r="F30" s="51"/>
      <c r="G30" s="54"/>
      <c r="H30" s="53"/>
      <c r="I30" s="51"/>
      <c r="J30" s="55"/>
      <c r="K30" s="54"/>
      <c r="L30" s="53"/>
      <c r="M30" s="51"/>
    </row>
    <row r="31" spans="1:13" ht="33.75" customHeight="1">
      <c r="A31" s="51"/>
      <c r="B31" s="51"/>
      <c r="C31" s="52"/>
      <c r="D31" s="53"/>
      <c r="E31" s="51"/>
      <c r="F31" s="51"/>
      <c r="G31" s="54"/>
      <c r="H31" s="53"/>
      <c r="I31" s="51"/>
      <c r="J31" s="55"/>
      <c r="K31" s="54"/>
      <c r="L31" s="53"/>
      <c r="M31" s="51"/>
    </row>
    <row r="32" spans="1:13" ht="33.75" customHeight="1">
      <c r="A32" s="51"/>
      <c r="B32" s="51"/>
      <c r="C32" s="52"/>
      <c r="D32" s="53"/>
      <c r="E32" s="51"/>
      <c r="F32" s="51"/>
      <c r="G32" s="54"/>
      <c r="H32" s="53"/>
      <c r="I32" s="51"/>
      <c r="J32" s="55"/>
      <c r="K32" s="54"/>
      <c r="L32" s="53"/>
      <c r="M32" s="51"/>
    </row>
    <row r="33" ht="33.75" customHeight="1" thickBot="1"/>
    <row r="34" spans="1:16" ht="33.75" customHeight="1" thickBot="1">
      <c r="A34" s="102"/>
      <c r="B34" s="366" t="s">
        <v>233</v>
      </c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103"/>
      <c r="P34" s="104"/>
    </row>
    <row r="35" spans="1:16" ht="33.75" customHeight="1" thickBot="1">
      <c r="A35" s="76"/>
      <c r="B35" s="47" t="e">
        <f>"semaine du "&amp;TEXT(mdate-27,"jj/mm")&amp;" au "&amp;TEXT(mdate-21,"jj/mm")</f>
        <v>#VALUE!</v>
      </c>
      <c r="C35" s="49"/>
      <c r="D35" s="48"/>
      <c r="E35" s="76"/>
      <c r="F35" s="47" t="e">
        <f>"semaine du "&amp;TEXT(mdate-20,"jj/mm")&amp;" au "&amp;TEXT(mdate-14,"jj/mm")</f>
        <v>#VALUE!</v>
      </c>
      <c r="G35" s="49"/>
      <c r="H35" s="48"/>
      <c r="I35" s="76"/>
      <c r="J35" s="47" t="e">
        <f>"semaine du "&amp;TEXT(mdate-13,"jj/mm")&amp;" au "&amp;TEXT(mdate-7,"jj/mm")</f>
        <v>#VALUE!</v>
      </c>
      <c r="K35" s="50"/>
      <c r="L35" s="48"/>
      <c r="M35" s="76"/>
      <c r="N35" s="47" t="e">
        <f>"semaine du "&amp;TEXT(mdate-6,"jj/mm")&amp;" au "&amp;TEXT(mdate,"jj/mm")</f>
        <v>#VALUE!</v>
      </c>
      <c r="O35" s="50"/>
      <c r="P35" s="48"/>
    </row>
    <row r="36" spans="1:16" ht="33.75" customHeight="1">
      <c r="A36" s="114" t="s">
        <v>228</v>
      </c>
      <c r="B36" s="250" t="s">
        <v>76</v>
      </c>
      <c r="C36" s="115"/>
      <c r="D36" s="116"/>
      <c r="E36" s="114" t="s">
        <v>228</v>
      </c>
      <c r="F36" s="250" t="s">
        <v>76</v>
      </c>
      <c r="G36" s="115"/>
      <c r="H36" s="116"/>
      <c r="I36" s="114" t="s">
        <v>228</v>
      </c>
      <c r="J36" s="250" t="s">
        <v>76</v>
      </c>
      <c r="K36" s="115"/>
      <c r="L36" s="116"/>
      <c r="M36" s="117" t="s">
        <v>228</v>
      </c>
      <c r="N36" s="250" t="s">
        <v>76</v>
      </c>
      <c r="O36" s="115"/>
      <c r="P36" s="116"/>
    </row>
    <row r="37" spans="1:16" ht="33.75" customHeight="1">
      <c r="A37" s="100" t="s">
        <v>227</v>
      </c>
      <c r="B37" s="106" t="s">
        <v>176</v>
      </c>
      <c r="C37" s="110">
        <f>v_vma*20</f>
        <v>91.74311926605505</v>
      </c>
      <c r="D37" s="82">
        <f>fc_semi</f>
        <v>164.395</v>
      </c>
      <c r="E37" s="100" t="s">
        <v>227</v>
      </c>
      <c r="F37" s="243" t="s">
        <v>309</v>
      </c>
      <c r="G37" s="86">
        <f>((vma_obj_km*103%)/1000)*900</f>
        <v>0.0023389583333333335</v>
      </c>
      <c r="H37" s="82">
        <f>fc_vma*97%</f>
        <v>173.99035500000002</v>
      </c>
      <c r="I37" s="100" t="s">
        <v>227</v>
      </c>
      <c r="J37" s="218" t="s">
        <v>21</v>
      </c>
      <c r="K37" s="180">
        <f>cat_km*140%</f>
        <v>0.24013888888888885</v>
      </c>
      <c r="L37" s="82">
        <f>(z_travail*65%)+fc_repos</f>
        <v>147.95</v>
      </c>
      <c r="M37" s="118" t="s">
        <v>227</v>
      </c>
      <c r="N37" s="106" t="s">
        <v>172</v>
      </c>
      <c r="O37" s="110">
        <f>cat_vitesse*60</f>
        <v>243.24324324324326</v>
      </c>
      <c r="P37" s="82">
        <f>fc_ana*105%</f>
        <v>179.37150000000003</v>
      </c>
    </row>
    <row r="38" spans="1:16" ht="33.75" customHeight="1">
      <c r="A38" s="100" t="s">
        <v>222</v>
      </c>
      <c r="B38" s="246" t="s">
        <v>76</v>
      </c>
      <c r="C38" s="86"/>
      <c r="D38" s="82"/>
      <c r="E38" s="100" t="s">
        <v>222</v>
      </c>
      <c r="F38" s="246" t="s">
        <v>76</v>
      </c>
      <c r="G38" s="86"/>
      <c r="H38" s="82"/>
      <c r="I38" s="100" t="s">
        <v>222</v>
      </c>
      <c r="J38" s="246" t="s">
        <v>76</v>
      </c>
      <c r="K38" s="86"/>
      <c r="L38" s="82"/>
      <c r="M38" s="118" t="s">
        <v>222</v>
      </c>
      <c r="N38" s="246" t="s">
        <v>76</v>
      </c>
      <c r="O38" s="86"/>
      <c r="P38" s="82"/>
    </row>
    <row r="39" spans="1:16" ht="33.75" customHeight="1">
      <c r="A39" s="100" t="s">
        <v>226</v>
      </c>
      <c r="B39" s="237" t="s">
        <v>270</v>
      </c>
      <c r="C39" s="86" t="str">
        <f>(al_marathon)</f>
        <v>00:04:16</v>
      </c>
      <c r="D39" s="82">
        <f>fc_competition</f>
        <v>179.02985833333332</v>
      </c>
      <c r="E39" s="100" t="s">
        <v>226</v>
      </c>
      <c r="F39" s="237" t="s">
        <v>285</v>
      </c>
      <c r="G39" s="86" t="str">
        <f>(al_marathon)</f>
        <v>00:04:16</v>
      </c>
      <c r="H39" s="82">
        <f>fc_competition</f>
        <v>179.02985833333332</v>
      </c>
      <c r="I39" s="100" t="s">
        <v>226</v>
      </c>
      <c r="J39" s="237" t="s">
        <v>287</v>
      </c>
      <c r="K39" s="86" t="str">
        <f>(al_marathon)</f>
        <v>00:04:16</v>
      </c>
      <c r="L39" s="82">
        <f>fc_competition</f>
        <v>179.02985833333332</v>
      </c>
      <c r="M39" s="118" t="s">
        <v>226</v>
      </c>
      <c r="N39" s="223" t="s">
        <v>289</v>
      </c>
      <c r="O39" s="180">
        <f>cat_km*140%</f>
        <v>0.24013888888888885</v>
      </c>
      <c r="P39" s="82">
        <f>(z_travail*65%)+fc_repos</f>
        <v>147.95</v>
      </c>
    </row>
    <row r="40" spans="1:16" ht="33.75" customHeight="1">
      <c r="A40" s="100" t="s">
        <v>223</v>
      </c>
      <c r="B40" s="218" t="s">
        <v>21</v>
      </c>
      <c r="C40" s="180">
        <f>cat_km*140%</f>
        <v>0.24013888888888885</v>
      </c>
      <c r="D40" s="82">
        <f>(z_travail*65%)+fc_repos</f>
        <v>147.95</v>
      </c>
      <c r="E40" s="100" t="s">
        <v>223</v>
      </c>
      <c r="F40" s="218" t="s">
        <v>21</v>
      </c>
      <c r="G40" s="180">
        <f>cat_km*140%</f>
        <v>0.24013888888888885</v>
      </c>
      <c r="H40" s="82">
        <f>(z_travail*65%)+fc_repos</f>
        <v>147.95</v>
      </c>
      <c r="I40" s="100" t="s">
        <v>223</v>
      </c>
      <c r="J40" s="246" t="s">
        <v>76</v>
      </c>
      <c r="K40" s="86"/>
      <c r="L40" s="82"/>
      <c r="M40" s="118" t="s">
        <v>223</v>
      </c>
      <c r="N40" s="218" t="s">
        <v>288</v>
      </c>
      <c r="O40" s="180">
        <f>cat_km*140%</f>
        <v>0.24013888888888885</v>
      </c>
      <c r="P40" s="82">
        <f>(z_travail*65%)+fc_repos</f>
        <v>147.95</v>
      </c>
    </row>
    <row r="41" spans="1:16" ht="33.75" customHeight="1">
      <c r="A41" s="100" t="s">
        <v>224</v>
      </c>
      <c r="B41" s="246" t="s">
        <v>76</v>
      </c>
      <c r="C41" s="86"/>
      <c r="D41" s="82"/>
      <c r="E41" s="100" t="s">
        <v>224</v>
      </c>
      <c r="F41" s="246" t="s">
        <v>76</v>
      </c>
      <c r="G41" s="86"/>
      <c r="H41" s="82"/>
      <c r="I41" s="100" t="s">
        <v>224</v>
      </c>
      <c r="J41" s="229" t="s">
        <v>286</v>
      </c>
      <c r="K41" s="186">
        <f>(cat_km)*145%</f>
        <v>0.24871527777777774</v>
      </c>
      <c r="L41" s="82">
        <f>(z_travail*61.5%)+fc_repos</f>
        <v>142.945</v>
      </c>
      <c r="M41" s="118" t="s">
        <v>224</v>
      </c>
      <c r="N41" s="246" t="s">
        <v>76</v>
      </c>
      <c r="O41" s="86"/>
      <c r="P41" s="82"/>
    </row>
    <row r="42" spans="1:16" ht="33.75" customHeight="1" thickBot="1">
      <c r="A42" s="101" t="s">
        <v>225</v>
      </c>
      <c r="B42" s="113" t="s">
        <v>173</v>
      </c>
      <c r="C42" s="177">
        <f>T_10k</f>
        <v>0.02968409586056645</v>
      </c>
      <c r="D42" s="112">
        <f>fc_competition</f>
        <v>179.02985833333332</v>
      </c>
      <c r="E42" s="101" t="s">
        <v>225</v>
      </c>
      <c r="F42" s="228" t="s">
        <v>165</v>
      </c>
      <c r="G42" s="181">
        <f>(cat_km)*145%</f>
        <v>0.24871527777777774</v>
      </c>
      <c r="H42" s="84">
        <f>(z_travail*61.5%)+fc_repos</f>
        <v>142.945</v>
      </c>
      <c r="I42" s="101" t="s">
        <v>225</v>
      </c>
      <c r="J42" s="225" t="s">
        <v>261</v>
      </c>
      <c r="K42" s="181">
        <f>cat_km*140%</f>
        <v>0.24013888888888885</v>
      </c>
      <c r="L42" s="189">
        <f>(z_travail*65%)+fc_repos</f>
        <v>147.95</v>
      </c>
      <c r="M42" s="119" t="s">
        <v>225</v>
      </c>
      <c r="N42" s="113" t="s">
        <v>87</v>
      </c>
      <c r="O42" s="177">
        <f>objectif</f>
        <v>0.125</v>
      </c>
      <c r="P42" s="112">
        <f>fc_competition</f>
        <v>179.02985833333332</v>
      </c>
    </row>
  </sheetData>
  <sheetProtection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8:G35"/>
  <sheetViews>
    <sheetView workbookViewId="0" topLeftCell="A1">
      <selection activeCell="H9" sqref="H9"/>
    </sheetView>
  </sheetViews>
  <sheetFormatPr defaultColWidth="11.421875" defaultRowHeight="12.75"/>
  <cols>
    <col min="1" max="1" width="12.421875" style="0" bestFit="1" customWidth="1"/>
    <col min="2" max="2" width="29.140625" style="0" bestFit="1" customWidth="1"/>
    <col min="3" max="4" width="18.421875" style="0" bestFit="1" customWidth="1"/>
  </cols>
  <sheetData>
    <row r="7" ht="13.5" thickBot="1"/>
    <row r="8" spans="1:6" ht="12.75" thickBot="1">
      <c r="A8" s="444" t="s">
        <v>94</v>
      </c>
      <c r="B8" s="445"/>
      <c r="C8" s="445"/>
      <c r="D8" s="445"/>
      <c r="E8" s="445"/>
      <c r="F8" s="446"/>
    </row>
    <row r="9" spans="1:6" ht="13.5" thickBot="1" thickTop="1">
      <c r="A9" s="128"/>
      <c r="B9" s="129"/>
      <c r="C9" s="441" t="s">
        <v>95</v>
      </c>
      <c r="D9" s="443"/>
      <c r="E9" s="441" t="s">
        <v>96</v>
      </c>
      <c r="F9" s="442"/>
    </row>
    <row r="10" spans="1:6" ht="12.75" thickTop="1">
      <c r="A10" s="130" t="s">
        <v>98</v>
      </c>
      <c r="B10" s="131">
        <f>fc_repos</f>
        <v>55</v>
      </c>
      <c r="C10" s="132" t="s">
        <v>99</v>
      </c>
      <c r="D10" s="133">
        <f>100/(v_vma+(0.5*0.9))</f>
        <v>19.85247245241781</v>
      </c>
      <c r="E10" s="134" t="s">
        <v>100</v>
      </c>
      <c r="F10" s="183">
        <v>0.00034722222222222224</v>
      </c>
    </row>
    <row r="11" spans="1:6" ht="12">
      <c r="A11" s="135" t="s">
        <v>103</v>
      </c>
      <c r="B11" s="131">
        <f>fc_repos+(z_travail*((100-(200/dist_vma_min))/100))</f>
        <v>195.14</v>
      </c>
      <c r="C11" s="136" t="s">
        <v>104</v>
      </c>
      <c r="D11" s="137">
        <f>200/(v_vma+(0.5*0.8))</f>
        <v>40.10301692420897</v>
      </c>
      <c r="E11" s="138" t="s">
        <v>105</v>
      </c>
      <c r="F11" s="139">
        <v>0.0004050925925925926</v>
      </c>
    </row>
    <row r="12" spans="1:6" ht="12">
      <c r="A12" s="135" t="s">
        <v>183</v>
      </c>
      <c r="B12" s="131">
        <f>fc_repos+(z_travail*((100-(300/dist_vma_min))/100))</f>
        <v>193.71</v>
      </c>
      <c r="C12" s="136" t="s">
        <v>107</v>
      </c>
      <c r="D12" s="137">
        <f>300/(v_vma+(0.5*0.7))</f>
        <v>60.76372758524575</v>
      </c>
      <c r="E12" s="138" t="s">
        <v>108</v>
      </c>
      <c r="F12" s="139">
        <v>0.0005787037037037038</v>
      </c>
    </row>
    <row r="13" spans="1:6" ht="12">
      <c r="A13" s="135" t="s">
        <v>106</v>
      </c>
      <c r="B13" s="131">
        <f>fc_repos+(z_travail*((100-(400/dist_vma_min))/100))</f>
        <v>192.28</v>
      </c>
      <c r="C13" s="136" t="s">
        <v>111</v>
      </c>
      <c r="D13" s="137">
        <f>400/(v_vma+(0.5*0.6))</f>
        <v>81.84719354233152</v>
      </c>
      <c r="E13" s="138" t="s">
        <v>112</v>
      </c>
      <c r="F13" s="139">
        <v>0.0006944444444444445</v>
      </c>
    </row>
    <row r="14" spans="1:6" ht="12">
      <c r="A14" s="135" t="s">
        <v>110</v>
      </c>
      <c r="B14" s="131">
        <f>fc_repos+(z_travail*((100-(500/dist_vma_min))/100))</f>
        <v>190.85</v>
      </c>
      <c r="C14" s="136" t="s">
        <v>114</v>
      </c>
      <c r="D14" s="137">
        <f>500/(v_vma+(0.5*0.5))</f>
        <v>103.366524419156</v>
      </c>
      <c r="E14" s="138" t="s">
        <v>115</v>
      </c>
      <c r="F14" s="139">
        <v>0.0006944444444444445</v>
      </c>
    </row>
    <row r="15" spans="1:6" ht="12">
      <c r="A15" s="135" t="s">
        <v>184</v>
      </c>
      <c r="B15" s="131">
        <f>fc_repos+(z_travail*((100-(800/dist_vma_min))/100))</f>
        <v>186.56</v>
      </c>
      <c r="C15" s="136" t="s">
        <v>118</v>
      </c>
      <c r="D15" s="137">
        <f>1000/v_vma</f>
        <v>218</v>
      </c>
      <c r="E15" s="138" t="s">
        <v>119</v>
      </c>
      <c r="F15" s="139">
        <v>0.0010416666666666667</v>
      </c>
    </row>
    <row r="16" spans="1:6" ht="12">
      <c r="A16" s="135" t="s">
        <v>185</v>
      </c>
      <c r="B16" s="131">
        <f>fc_repos+(z_travail*((100-(1200/dist_vma_min))/100))</f>
        <v>180.84</v>
      </c>
      <c r="C16" s="136" t="s">
        <v>304</v>
      </c>
      <c r="D16" s="185">
        <f>fc_repos+(z_travail*k_vma*k_marat)*rapport</f>
        <v>179.02985833333332</v>
      </c>
      <c r="E16" s="138"/>
      <c r="F16" s="139"/>
    </row>
    <row r="17" spans="1:6" ht="12">
      <c r="A17" s="135" t="s">
        <v>113</v>
      </c>
      <c r="B17" s="131">
        <f>fc_repos+(z_travail*k_vma*k_semi)</f>
        <v>164.395</v>
      </c>
      <c r="C17" s="136" t="s">
        <v>310</v>
      </c>
      <c r="D17" s="142">
        <f>fc_ana*105%</f>
        <v>179.37150000000003</v>
      </c>
      <c r="E17" s="126"/>
      <c r="F17" s="184"/>
    </row>
    <row r="18" spans="1:6" ht="12">
      <c r="A18" s="135" t="s">
        <v>117</v>
      </c>
      <c r="B18" s="131">
        <f>fc_max-fc_repos</f>
        <v>143</v>
      </c>
      <c r="C18" s="136" t="s">
        <v>311</v>
      </c>
      <c r="D18" s="204">
        <f>t_th_marathon/objectif</f>
        <v>1.1337799564270152</v>
      </c>
      <c r="E18" s="126"/>
      <c r="F18" s="184"/>
    </row>
    <row r="19" spans="1:6" ht="12">
      <c r="A19" s="135"/>
      <c r="B19" s="131"/>
      <c r="C19" s="136" t="s">
        <v>121</v>
      </c>
      <c r="D19" s="139">
        <f>seuil*3</f>
        <v>0.008393569538254927</v>
      </c>
      <c r="E19" s="138"/>
      <c r="F19" s="182"/>
    </row>
    <row r="20" spans="1:6" ht="12">
      <c r="A20" s="135" t="s">
        <v>120</v>
      </c>
      <c r="B20" s="141">
        <f>IF(D_test=2000,0.88,0.9)</f>
        <v>0.9</v>
      </c>
      <c r="C20" s="136" t="s">
        <v>124</v>
      </c>
      <c r="D20" s="139">
        <f>seuil*4</f>
        <v>0.01119142605100657</v>
      </c>
      <c r="E20" s="138" t="s">
        <v>305</v>
      </c>
      <c r="F20" s="182">
        <f>Etalonnage!E17/100</f>
        <v>0.6110091743119267</v>
      </c>
    </row>
    <row r="21" spans="1:6" ht="12">
      <c r="A21" s="135" t="s">
        <v>123</v>
      </c>
      <c r="B21" s="141">
        <f>IF(D_test=2000,0.88,0.9)</f>
        <v>0.9</v>
      </c>
      <c r="C21" s="136" t="s">
        <v>127</v>
      </c>
      <c r="D21" s="137">
        <f>dist_vma/(v_vma+(0.5*((1000-dist_vma)/1000)))</f>
        <v>218</v>
      </c>
      <c r="E21" s="138" t="s">
        <v>306</v>
      </c>
      <c r="F21" s="182">
        <v>1</v>
      </c>
    </row>
    <row r="22" spans="1:6" ht="12">
      <c r="A22" s="135" t="s">
        <v>126</v>
      </c>
      <c r="B22" s="141">
        <f>IF(D_test=2000,0.78,0.8)</f>
        <v>0.8</v>
      </c>
      <c r="C22" s="136"/>
      <c r="D22" s="137"/>
      <c r="E22" s="138"/>
      <c r="F22" s="182"/>
    </row>
    <row r="23" spans="1:6" ht="12">
      <c r="A23" s="135"/>
      <c r="B23" s="141"/>
      <c r="C23" s="136" t="s">
        <v>130</v>
      </c>
      <c r="D23" s="142">
        <f>fc_repos+(z_travail*((100-(dist_vma/dist_vma_min))/100))</f>
        <v>183.70000000000002</v>
      </c>
      <c r="E23" s="138"/>
      <c r="F23" s="182"/>
    </row>
    <row r="24" spans="1:6" ht="12">
      <c r="A24" s="135" t="s">
        <v>129</v>
      </c>
      <c r="B24" s="141">
        <v>0.7</v>
      </c>
      <c r="C24" s="136" t="s">
        <v>134</v>
      </c>
      <c r="D24" s="142">
        <f>fc_repos+(z_travail*((100-(100/dist_vma_min))/100))</f>
        <v>196.57</v>
      </c>
      <c r="E24" s="143"/>
      <c r="F24" s="182"/>
    </row>
    <row r="25" spans="1:6" ht="12">
      <c r="A25" s="135" t="s">
        <v>133</v>
      </c>
      <c r="B25" s="141">
        <f>IF(D_test=2000,0.83,0.85)</f>
        <v>0.85</v>
      </c>
      <c r="C25" s="136" t="s">
        <v>138</v>
      </c>
      <c r="D25" s="144">
        <f>vma_obj_km*10/k_10</f>
        <v>0.02968409586056645</v>
      </c>
      <c r="E25" s="143"/>
      <c r="F25" s="182"/>
    </row>
    <row r="26" spans="1:6" ht="12">
      <c r="A26" s="135" t="s">
        <v>137</v>
      </c>
      <c r="B26" s="141">
        <f>IF(D_test=2000,0.83,0.85)</f>
        <v>0.85</v>
      </c>
      <c r="C26" s="136" t="s">
        <v>142</v>
      </c>
      <c r="D26" s="144">
        <f>vma_obj_km/k_semi*dist_semi</f>
        <v>0.06262602124183007</v>
      </c>
      <c r="E26" s="143"/>
      <c r="F26" s="182"/>
    </row>
    <row r="27" spans="1:6" ht="12">
      <c r="A27" s="135" t="s">
        <v>141</v>
      </c>
      <c r="B27" s="141">
        <f>IF(D_test=2000,0.83,0.85)</f>
        <v>0.85</v>
      </c>
      <c r="C27" s="136" t="s">
        <v>145</v>
      </c>
      <c r="D27" s="144">
        <f>vma_obj_km/k_semi</f>
        <v>0.002968409586056645</v>
      </c>
      <c r="E27" s="143"/>
      <c r="F27" s="182"/>
    </row>
    <row r="28" spans="1:6" ht="12">
      <c r="A28" s="135" t="s">
        <v>144</v>
      </c>
      <c r="B28" s="141">
        <f>IF(D_test=2000,3.55,3.7)</f>
        <v>3.7</v>
      </c>
      <c r="C28" s="136" t="s">
        <v>149</v>
      </c>
      <c r="D28" s="144">
        <f>endurance/K_facile</f>
        <v>0.21223470661672908</v>
      </c>
      <c r="E28" s="143"/>
      <c r="F28" s="182"/>
    </row>
    <row r="29" spans="1:6" ht="12">
      <c r="A29" s="135" t="s">
        <v>148</v>
      </c>
      <c r="B29" s="131">
        <v>100</v>
      </c>
      <c r="C29" s="136" t="s">
        <v>46</v>
      </c>
      <c r="D29" s="144">
        <f>(objectif/dist_marathon)*k_marat/k_anaero</f>
        <v>0.0027978565127516424</v>
      </c>
      <c r="E29" s="143"/>
      <c r="F29" s="182"/>
    </row>
    <row r="30" spans="1:6" ht="12">
      <c r="A30" s="135" t="s">
        <v>152</v>
      </c>
      <c r="B30" s="145">
        <v>42.195</v>
      </c>
      <c r="C30" s="146"/>
      <c r="D30" s="140"/>
      <c r="E30" s="143"/>
      <c r="F30" s="182"/>
    </row>
    <row r="31" spans="1:6" ht="12">
      <c r="A31" s="135" t="s">
        <v>89</v>
      </c>
      <c r="B31" s="145">
        <f>dist_marathon/2</f>
        <v>21.0975</v>
      </c>
      <c r="C31" s="146"/>
      <c r="D31" s="140"/>
      <c r="E31" s="143"/>
      <c r="F31" s="182"/>
    </row>
    <row r="32" spans="1:6" ht="12">
      <c r="A32" s="135" t="s">
        <v>90</v>
      </c>
      <c r="B32" s="131">
        <f>IF(Etalonnage!B9=2000,2,1.5)</f>
        <v>1.5</v>
      </c>
      <c r="C32" s="146">
        <v>1000</v>
      </c>
      <c r="D32" s="140"/>
      <c r="E32" s="143"/>
      <c r="F32" s="182"/>
    </row>
    <row r="33" spans="1:7" ht="12.75" thickBot="1">
      <c r="A33" s="147" t="s">
        <v>91</v>
      </c>
      <c r="B33" s="148">
        <f>IF(D_test=2000,0.87,0.89)</f>
        <v>0.89</v>
      </c>
      <c r="C33" s="212">
        <v>2000</v>
      </c>
      <c r="D33" s="149"/>
      <c r="E33" s="127"/>
      <c r="F33" s="149"/>
      <c r="G33" s="2"/>
    </row>
    <row r="34" spans="1:2" ht="12.75" thickBot="1">
      <c r="A34" s="2"/>
      <c r="B34" s="2"/>
    </row>
    <row r="35" spans="1:6" ht="16.5" customHeight="1" thickBot="1" thickTop="1">
      <c r="A35" s="438" t="s">
        <v>0</v>
      </c>
      <c r="B35" s="439"/>
      <c r="C35" s="439"/>
      <c r="D35" s="439"/>
      <c r="E35" s="439"/>
      <c r="F35" s="440"/>
    </row>
    <row r="36" ht="12.75" thickTop="1"/>
  </sheetData>
  <sheetProtection password="F7AF" sheet="1" objects="1" scenarios="1"/>
  <mergeCells count="4">
    <mergeCell ref="A35:F35"/>
    <mergeCell ref="E9:F9"/>
    <mergeCell ref="C9:D9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Logiciel Zatopek.be</dc:subject>
  <dc:creator>Dumas</dc:creator>
  <cp:keywords/>
  <dc:description/>
  <cp:lastModifiedBy>Emil Zatopek</cp:lastModifiedBy>
  <cp:lastPrinted>2015-06-01T15:19:58Z</cp:lastPrinted>
  <dcterms:created xsi:type="dcterms:W3CDTF">2002-01-09T20:52:19Z</dcterms:created>
  <dcterms:modified xsi:type="dcterms:W3CDTF">2015-06-04T13:42:53Z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