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697" activeTab="0"/>
  </bookViews>
  <sheets>
    <sheet name="Accueil" sheetId="1" r:id="rId1"/>
    <sheet name="Etalonnage" sheetId="2" r:id="rId2"/>
    <sheet name="20 Km 5 ent." sheetId="3" r:id="rId3"/>
    <sheet name="20 Km 4 ent." sheetId="4" r:id="rId4"/>
    <sheet name="20 Km 3 ent." sheetId="5" r:id="rId5"/>
    <sheet name="constantes" sheetId="6" r:id="rId6"/>
    <sheet name="VMA" sheetId="7" r:id="rId7"/>
  </sheets>
  <externalReferences>
    <externalReference r:id="rId10"/>
  </externalReferences>
  <definedNames>
    <definedName name="_60__Endurance_facile">#REF!</definedName>
    <definedName name="_vo2">'Etalonnage'!$B$15</definedName>
    <definedName name="al_marathon">'Etalonnage'!$E$21</definedName>
    <definedName name="al_semi">'constantes'!$D$28</definedName>
    <definedName name="allure_vma">'Etalonnage'!$B$19</definedName>
    <definedName name="allure_vma_sec">'Etalonnage'!$B$21</definedName>
    <definedName name="C3.1">#REF!</definedName>
    <definedName name="C3.2">#REF!</definedName>
    <definedName name="cat_km">'Etalonnage'!$B$11</definedName>
    <definedName name="cat_kmh">'Etalonnage'!$B$14</definedName>
    <definedName name="cat_object">'Etalonnage'!$E$12</definedName>
    <definedName name="cat_sec">'Etalonnage'!$B$12</definedName>
    <definedName name="cat_test_3">'Etalonnage'!$B$10</definedName>
    <definedName name="cat_vitesse">'Etalonnage'!$B$13</definedName>
    <definedName name="D_test">'Etalonnage'!$B$9</definedName>
    <definedName name="date_10">'Etalonnage'!#REF!</definedName>
    <definedName name="dist_marathon">'constantes'!$B$31</definedName>
    <definedName name="dist_semi">'constantes'!$B$32</definedName>
    <definedName name="dist_vma">'Etalonnage'!$B$18</definedName>
    <definedName name="dist_vma_min">'constantes'!$B$30</definedName>
    <definedName name="endurance">'Etalonnage'!$E$19</definedName>
    <definedName name="facile">'constantes'!$D$29</definedName>
    <definedName name="fc_100">'constantes'!$D$25</definedName>
    <definedName name="fc_1200">'constantes'!$B$17</definedName>
    <definedName name="fc_200">'constantes'!$B$11</definedName>
    <definedName name="fc_300">'constantes'!$B$12</definedName>
    <definedName name="fc_3000">'Etalonnage'!$C$10</definedName>
    <definedName name="fc_400">'constantes'!$B$13</definedName>
    <definedName name="fc_500">'constantes'!$B$14</definedName>
    <definedName name="fc_700">'constantes'!$B$15</definedName>
    <definedName name="fc_800">'constantes'!$B$16</definedName>
    <definedName name="fc_ana">'Etalonnage'!$C$22</definedName>
    <definedName name="fc_endur">'Etalonnage'!#REF!</definedName>
    <definedName name="fc_marathon">'Etalonnage'!$C$24</definedName>
    <definedName name="fc_max">'Etalonnage'!$C$17</definedName>
    <definedName name="fc_repos">'Etalonnage'!$C$16</definedName>
    <definedName name="fc_semi">'constantes'!$B$18</definedName>
    <definedName name="fc_x">'constantes'!$D$24</definedName>
    <definedName name="ind_vma">'constantes'!$B$29</definedName>
    <definedName name="k_10">'constantes'!$B$28</definedName>
    <definedName name="k_aero">'constantes'!$B$23</definedName>
    <definedName name="k_anaero">'constantes'!$B$22</definedName>
    <definedName name="K_facile">'constantes'!$B$34</definedName>
    <definedName name="k_marat">'constantes'!$B$26</definedName>
    <definedName name="k_recup">'constantes'!$B$25</definedName>
    <definedName name="k_semi">'constantes'!$B$27</definedName>
    <definedName name="k_semi_2">'constantes'!$B$24</definedName>
    <definedName name="K_test">'constantes'!$B$33</definedName>
    <definedName name="k_vma">'constantes'!$B$21</definedName>
    <definedName name="marathon">'Etalonnage'!$E$21</definedName>
    <definedName name="mdate">'Etalonnage'!$E$10</definedName>
    <definedName name="objectif">'Etalonnage'!$E$9</definedName>
    <definedName name="R_100">'constantes'!$F$10</definedName>
    <definedName name="R_1000">'constantes'!$F$16</definedName>
    <definedName name="R_200">'constantes'!$F$11</definedName>
    <definedName name="R_300">'constantes'!$F$12</definedName>
    <definedName name="R_400">'constantes'!$F$13</definedName>
    <definedName name="R_500">'constantes'!$F$14</definedName>
    <definedName name="recup">'Etalonnage'!$B$23</definedName>
    <definedName name="serie_100" localSheetId="4">'20 Km 3 ent.'!$G$7</definedName>
    <definedName name="serie_100" localSheetId="2">'20 Km 5 ent.'!$G$7</definedName>
    <definedName name="serie_100">'20 Km 4 ent.'!$G$7</definedName>
    <definedName name="seuil">'constantes'!$D$30</definedName>
    <definedName name="seuil_aero">'Etalonnage'!#REF!</definedName>
    <definedName name="seuil_ana">'Etalonnage'!$B$22</definedName>
    <definedName name="seuil_ana_obj">'Etalonnage'!$E$18</definedName>
    <definedName name="T_100">'constantes'!$D$10</definedName>
    <definedName name="T_1000">'constantes'!$D$16</definedName>
    <definedName name="T_10k">'constantes'!$D$26</definedName>
    <definedName name="T_200">'constantes'!$D$11</definedName>
    <definedName name="T_300">'constantes'!$D$12</definedName>
    <definedName name="t_3000">'constantes'!$D$20</definedName>
    <definedName name="T_400">'constantes'!$D$13</definedName>
    <definedName name="t_4000">'constantes'!$D$21</definedName>
    <definedName name="T_500">'constantes'!$D$14</definedName>
    <definedName name="T_semi">'constantes'!$D$27</definedName>
    <definedName name="t_th_marathon">'Etalonnage'!$B$25</definedName>
    <definedName name="t_th_semi">'Etalonnage'!#REF!</definedName>
    <definedName name="t_x">'constantes'!$D$22</definedName>
    <definedName name="TABLE" localSheetId="6">'VMA'!$G$26:$I$26</definedName>
    <definedName name="TABLE">#REF!</definedName>
    <definedName name="TABLE_2" localSheetId="6">'VMA'!$E$32:$F$32</definedName>
    <definedName name="TABLE_2">#REF!</definedName>
    <definedName name="TABLE_3" localSheetId="6">'VMA'!$G$32:$I$32</definedName>
    <definedName name="TABLE_3">#REF!</definedName>
    <definedName name="TABLE_4" localSheetId="6">'VMA'!$C$34:$D$34</definedName>
    <definedName name="TABLE_4">#REF!</definedName>
    <definedName name="TABLE_5" localSheetId="6">'VMA'!$A$23:$J$38</definedName>
    <definedName name="TABLE_5">#REF!</definedName>
    <definedName name="theo_marathon">'Etalonnage'!$B$24</definedName>
    <definedName name="v_vma">'Etalonnage'!$E$15</definedName>
    <definedName name="v_vma_obj_kmh">'Etalonnage'!$E$16</definedName>
    <definedName name="vma_10" localSheetId="6">'[1]constantes'!#REF!</definedName>
    <definedName name="vma_100" localSheetId="6">'[1]constantes'!#REF!</definedName>
    <definedName name="vma_1000_obj">'Etalonnage'!$E$14</definedName>
    <definedName name="vma_200" localSheetId="6">'[1]constantes'!#REF!</definedName>
    <definedName name="VMA_kmh">'Etalonnage'!$B$20</definedName>
    <definedName name="vma_obj_km">'Etalonnage'!$E$13</definedName>
    <definedName name="z_travail">'constantes'!$B$19</definedName>
  </definedNames>
  <calcPr fullCalcOnLoad="1"/>
</workbook>
</file>

<file path=xl/comments2.xml><?xml version="1.0" encoding="utf-8"?>
<comments xmlns="http://schemas.openxmlformats.org/spreadsheetml/2006/main">
  <authors>
    <author>mt</author>
    <author>marc</author>
  </authors>
  <commentList>
    <comment ref="B9" authorId="0">
      <text>
        <r>
          <rPr>
            <sz val="10"/>
            <rFont val="Arial"/>
            <family val="0"/>
          </rPr>
          <t>Ce test est couru sur 2000m pour les bons coureurs, (moins de 8 mn); sur 1500m pour les autres</t>
        </r>
      </text>
    </comment>
    <comment ref="E12" authorId="0">
      <text>
        <r>
          <rPr>
            <b/>
            <sz val="10"/>
            <rFont val="Arial"/>
            <family val="2"/>
          </rPr>
          <t>Ce temps est le temps minimum à réaliser sur le test pour espérer réaliser l'objectif souhaité</t>
        </r>
      </text>
    </comment>
    <comment ref="A10" authorId="0">
      <text>
        <r>
          <rPr>
            <sz val="10"/>
            <rFont val="Arial"/>
            <family val="0"/>
          </rPr>
          <t xml:space="preserve">Il s'agit d'un test sur piste à allure constante, réalisé au maximum des possibilités
</t>
        </r>
      </text>
    </comment>
    <comment ref="B10" authorId="0">
      <text>
        <r>
          <rPr>
            <sz val="10"/>
            <rFont val="Arial"/>
            <family val="0"/>
          </rPr>
          <t xml:space="preserve">Le test sur piste est réalisé au maximum des possibilités, à allure constante. Le dernier demi-tour sera couru "à fond", ce qui permettra aussi de connaître sa F.C. max
</t>
        </r>
      </text>
    </comment>
    <comment ref="E13" authorId="0">
      <text>
        <r>
          <rPr>
            <b/>
            <sz val="10"/>
            <rFont val="Arial"/>
            <family val="2"/>
          </rPr>
          <t xml:space="preserve">Saisissez le temps 20km souhaité en haut du tableau !
</t>
        </r>
      </text>
    </comment>
    <comment ref="C17" authorId="0">
      <text>
        <r>
          <rPr>
            <sz val="10"/>
            <rFont val="Arial"/>
            <family val="0"/>
          </rPr>
          <t>indiquez la fc max obtenue durant le test.
Si vous ne la connaissez pas :
226 - l'âge pour les dames
220 - l'âge pour les hommes</t>
        </r>
      </text>
    </comment>
    <comment ref="B18" authorId="0">
      <text>
        <r>
          <rPr>
            <sz val="10"/>
            <rFont val="Arial"/>
            <family val="0"/>
          </rPr>
          <t xml:space="preserve">distance entre 100 &amp; 1000 mètres
</t>
        </r>
      </text>
    </comment>
    <comment ref="E9" authorId="0">
      <text>
        <r>
          <rPr>
            <sz val="10"/>
            <rFont val="Arial"/>
            <family val="0"/>
          </rPr>
          <t>restez réaliste.
N'espérez pas une progression trop rapide par rapport à votre valeur réelle!</t>
        </r>
      </text>
    </comment>
    <comment ref="D12" authorId="1">
      <text>
        <r>
          <rPr>
            <b/>
            <sz val="8"/>
            <rFont val="Tahoma"/>
            <family val="2"/>
          </rPr>
          <t>Pour réaliser cet objectif, il faut réaliser au minimum au CAT test:</t>
        </r>
        <r>
          <rPr>
            <sz val="8"/>
            <rFont val="Tahoma"/>
            <family val="2"/>
          </rPr>
          <t xml:space="preserve">
</t>
        </r>
      </text>
    </comment>
    <comment ref="B14" authorId="1">
      <text>
        <r>
          <rPr>
            <b/>
            <sz val="8"/>
            <rFont val="Tahoma"/>
            <family val="2"/>
          </rPr>
          <t xml:space="preserve">VMA:
Vitesse Maximum Aerobie.
</t>
        </r>
        <r>
          <rPr>
            <sz val="8"/>
            <rFont val="Tahoma"/>
            <family val="2"/>
          </rPr>
          <t>Vos allures de courses sont calculées en % de cette vitesse (voir Feuille "VMA")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</author>
  </authors>
  <commentList>
    <comment ref="C7" authorId="0">
      <text>
        <r>
          <rPr>
            <b/>
            <sz val="8"/>
            <rFont val="Tahoma"/>
            <family val="2"/>
          </rPr>
          <t xml:space="preserve">C'est la valeur que vous avez trouvé cellule B14  Feuille Etalonnage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<sst xmlns="http://schemas.openxmlformats.org/spreadsheetml/2006/main" count="701" uniqueCount="262">
  <si>
    <t>Saisissez vos paramètres dans les cases en jaunes</t>
  </si>
  <si>
    <t>Votre VMA (m/sec):</t>
  </si>
  <si>
    <t>Les cases à saisir sont en jaune</t>
  </si>
  <si>
    <t xml:space="preserve">Le plan vous propose alors 3 possibilités: </t>
  </si>
  <si>
    <t>60' ENDURANCE</t>
  </si>
  <si>
    <t>Entrez votre</t>
  </si>
  <si>
    <t>VMA</t>
  </si>
  <si>
    <t>km/h</t>
  </si>
  <si>
    <t>TEMPS DE PASSAGE AUX :</t>
  </si>
  <si>
    <t>distances (en mètres) choisies par l'entraîneur</t>
  </si>
  <si>
    <t>Pour une autre distance :</t>
  </si>
  <si>
    <t>% choisi :</t>
  </si>
  <si>
    <t>distance :</t>
  </si>
  <si>
    <t>mètres</t>
  </si>
  <si>
    <t>Temps :</t>
  </si>
  <si>
    <t>seuil</t>
  </si>
  <si>
    <t>FC</t>
  </si>
  <si>
    <t xml:space="preserve">REPOS </t>
  </si>
  <si>
    <t>Paramètres correspondants à l'objectif choisi:</t>
  </si>
  <si>
    <t>VMA sur 1000m (hh:mn:sec):</t>
  </si>
  <si>
    <t>Cycle 1</t>
  </si>
  <si>
    <t>Cycle 2</t>
  </si>
  <si>
    <t>dist_semi</t>
  </si>
  <si>
    <t>K_test</t>
  </si>
  <si>
    <t>K_facile</t>
  </si>
  <si>
    <t>Votre valeur actuelle:</t>
  </si>
  <si>
    <t>F.C.</t>
  </si>
  <si>
    <t>Constantes &amp; parametres de calcul</t>
  </si>
  <si>
    <t>calculs intermédiaires</t>
  </si>
  <si>
    <t>Temps de récupération</t>
  </si>
  <si>
    <t>fc_repos</t>
  </si>
  <si>
    <t>T_100</t>
  </si>
  <si>
    <t>R_100</t>
  </si>
  <si>
    <t>Votre temps au Km (mn:sec):</t>
  </si>
  <si>
    <t>en sec:</t>
  </si>
  <si>
    <t>fc_200</t>
  </si>
  <si>
    <t>T_200</t>
  </si>
  <si>
    <t>R_200</t>
  </si>
  <si>
    <t>fc_400</t>
  </si>
  <si>
    <t>T_300</t>
  </si>
  <si>
    <t>R_300</t>
  </si>
  <si>
    <t>en Km/heure:</t>
  </si>
  <si>
    <t>fc_500</t>
  </si>
  <si>
    <t>T_400</t>
  </si>
  <si>
    <t>R_400</t>
  </si>
  <si>
    <t>fc_semi</t>
  </si>
  <si>
    <t>T_500</t>
  </si>
  <si>
    <t>R_500</t>
  </si>
  <si>
    <t>votre indice VO2 Max:</t>
  </si>
  <si>
    <t>z_travail</t>
  </si>
  <si>
    <t>T_1000</t>
  </si>
  <si>
    <t>R_1000</t>
  </si>
  <si>
    <t>k_vma</t>
  </si>
  <si>
    <t>t_3000</t>
  </si>
  <si>
    <t>k_anaero</t>
  </si>
  <si>
    <t>t_4000</t>
  </si>
  <si>
    <t>Allure VMA correspondante (mn:sec):</t>
  </si>
  <si>
    <t>k_aero</t>
  </si>
  <si>
    <t>t_x</t>
  </si>
  <si>
    <t>en sec :</t>
  </si>
  <si>
    <t>k_recup</t>
  </si>
  <si>
    <t>fc_x</t>
  </si>
  <si>
    <t>k_marat</t>
  </si>
  <si>
    <t>fc_100</t>
  </si>
  <si>
    <t>k_semi</t>
  </si>
  <si>
    <t>T_10k</t>
  </si>
  <si>
    <t>Allure de récupération:</t>
  </si>
  <si>
    <t>k_10</t>
  </si>
  <si>
    <t>T_semi</t>
  </si>
  <si>
    <t>ind_vma</t>
  </si>
  <si>
    <t>al_semi</t>
  </si>
  <si>
    <t>dist_vma_min</t>
  </si>
  <si>
    <t>facile</t>
  </si>
  <si>
    <t>dist_marathon</t>
  </si>
  <si>
    <t>Recommandations</t>
  </si>
  <si>
    <t>Entrainement à allure VMA</t>
  </si>
  <si>
    <t>séance d'intervalles</t>
  </si>
  <si>
    <t>séance VMA</t>
  </si>
  <si>
    <t>Jaune foncé</t>
  </si>
  <si>
    <t>Bleu foncé</t>
  </si>
  <si>
    <t>50' ENDURANCE</t>
  </si>
  <si>
    <t>TPS</t>
  </si>
  <si>
    <t>fc_300</t>
  </si>
  <si>
    <t>fc_800</t>
  </si>
  <si>
    <t>fc_1200</t>
  </si>
  <si>
    <t>Il est nécessaire d'être à l'écoute de ses sensations.</t>
  </si>
  <si>
    <t>Composition d'une séance  :</t>
  </si>
  <si>
    <t xml:space="preserve">Chaque séance débute par un échauffement et se termine par un retour au calme. </t>
  </si>
  <si>
    <t>L'échauffement  :</t>
  </si>
  <si>
    <t xml:space="preserve">Celui ci varie en fonction du contenu de la séance, plus la séance comporte de rythmes rapides  </t>
  </si>
  <si>
    <t>et plus l'échauffement est complet. A la dizaine de minutes de course lente indispensable</t>
  </si>
  <si>
    <t xml:space="preserve">pour bien débuter une sortie en endurance, il faut ajouter (au minimum), quelques exercices </t>
  </si>
  <si>
    <t>Bras / Tronc / Jambes , du PPG et 2 à 3 déboulés pour effectuer des exercices plus rapides.</t>
  </si>
  <si>
    <t>Le retour au calme  :</t>
  </si>
  <si>
    <t>Afin de bien scinder le retour au calme de la période qui précède, il est conseillé de marcher</t>
  </si>
  <si>
    <t>une minute avant de reprendre par une course lente d'une dizaine de minutes suivie</t>
  </si>
  <si>
    <t>d'une série d'étirements doux.</t>
  </si>
  <si>
    <t>Avant tout il est nécessaire de se connaître un peu:</t>
  </si>
  <si>
    <t>Il est donc nécessaire de commencer par un test de terrain, pratiqué sur piste de préférence.</t>
  </si>
  <si>
    <t>( record de l'épreuve, profil, nombre et niveau des participants, etc )</t>
  </si>
  <si>
    <t>car il est fort probable que vous n'iriez pas au bout!</t>
  </si>
  <si>
    <t>Un plan sur 4 séances hebdomadaires</t>
  </si>
  <si>
    <t>Un plan sur 5 séances hebdomadaires</t>
  </si>
  <si>
    <t>MER.</t>
  </si>
  <si>
    <t>VEN.</t>
  </si>
  <si>
    <t>SAM.</t>
  </si>
  <si>
    <t>DIM.</t>
  </si>
  <si>
    <t>JEU.</t>
  </si>
  <si>
    <t>MAR.</t>
  </si>
  <si>
    <t>LUN.</t>
  </si>
  <si>
    <t>Cycle 3</t>
  </si>
  <si>
    <r>
      <t xml:space="preserve">En plus lent </t>
    </r>
    <r>
      <rPr>
        <sz val="8"/>
        <rFont val="Verdana"/>
        <family val="2"/>
      </rPr>
      <t xml:space="preserve">: cela se fera en fonction de l'(in)expérience et de l'épreuve choisie </t>
    </r>
  </si>
  <si>
    <r>
      <t xml:space="preserve">Le feuillet </t>
    </r>
    <r>
      <rPr>
        <sz val="10"/>
        <color indexed="20"/>
        <rFont val="Verdana"/>
        <family val="2"/>
      </rPr>
      <t>VMA</t>
    </r>
    <r>
      <rPr>
        <sz val="10"/>
        <rFont val="Verdana"/>
        <family val="2"/>
      </rPr>
      <t xml:space="preserve"> permet de prévoir votre rythme pour les séances VMA.</t>
    </r>
  </si>
  <si>
    <t>LEGENDE</t>
  </si>
  <si>
    <t>COULEUR DE LA CASE</t>
  </si>
  <si>
    <t>TYPE D' ENTRAÎNEMENT</t>
  </si>
  <si>
    <t>INFORMATIONS ANNEXES</t>
  </si>
  <si>
    <t>Temps final + FC de base</t>
  </si>
  <si>
    <t xml:space="preserve">Vitesse au Km + FC de base </t>
  </si>
  <si>
    <t xml:space="preserve">Temps + FC des exercices </t>
  </si>
  <si>
    <t>Distance + FC des exercices</t>
  </si>
  <si>
    <t>On y a intercalé des compétitions (facultatives) qui sont à réaliser sans soucis de performances maximum</t>
  </si>
  <si>
    <r>
      <t xml:space="preserve">Ce test se déroule sur </t>
    </r>
    <r>
      <rPr>
        <b/>
        <sz val="8"/>
        <color indexed="62"/>
        <rFont val="Verdana"/>
        <family val="2"/>
      </rPr>
      <t>2000m</t>
    </r>
    <r>
      <rPr>
        <sz val="8"/>
        <rFont val="Verdana"/>
        <family val="2"/>
      </rPr>
      <t xml:space="preserve"> pour les bons coureurs, sur </t>
    </r>
    <r>
      <rPr>
        <b/>
        <sz val="8"/>
        <color indexed="62"/>
        <rFont val="Verdana"/>
        <family val="2"/>
      </rPr>
      <t xml:space="preserve">1500m </t>
    </r>
    <r>
      <rPr>
        <sz val="8"/>
        <rFont val="Verdana"/>
        <family val="2"/>
      </rPr>
      <t xml:space="preserve">pour les débutants </t>
    </r>
  </si>
  <si>
    <t>REALISATION DU TEST :</t>
  </si>
  <si>
    <r>
      <t xml:space="preserve">Il s'agit de courir </t>
    </r>
    <r>
      <rPr>
        <b/>
        <u val="single"/>
        <sz val="8"/>
        <rFont val="Verdana"/>
        <family val="2"/>
      </rPr>
      <t>le plus vite possible</t>
    </r>
    <r>
      <rPr>
        <sz val="8"/>
        <rFont val="Verdana"/>
        <family val="2"/>
      </rPr>
      <t xml:space="preserve"> , </t>
    </r>
    <r>
      <rPr>
        <b/>
        <u val="single"/>
        <sz val="8"/>
        <rFont val="Verdana"/>
        <family val="2"/>
      </rPr>
      <t>à allure constante</t>
    </r>
    <r>
      <rPr>
        <sz val="8"/>
        <rFont val="Verdana"/>
        <family val="2"/>
      </rPr>
      <t xml:space="preserve"> puis en parcourant les 200 derniers mètres "à fond"</t>
    </r>
  </si>
  <si>
    <r>
      <t xml:space="preserve">Ces chiffres vous indiquent votre </t>
    </r>
    <r>
      <rPr>
        <b/>
        <u val="single"/>
        <sz val="8"/>
        <rFont val="Verdana"/>
        <family val="2"/>
      </rPr>
      <t>niveau actuel</t>
    </r>
    <r>
      <rPr>
        <sz val="8"/>
        <rFont val="Verdana"/>
        <family val="2"/>
      </rPr>
      <t>.</t>
    </r>
  </si>
  <si>
    <t>Comme vous pouvez souhaiter préparer un 10 Km pour un résultat différent de ce</t>
  </si>
  <si>
    <r>
      <t>En plus rapide</t>
    </r>
    <r>
      <rPr>
        <b/>
        <sz val="8"/>
        <rFont val="Verdana"/>
        <family val="2"/>
      </rPr>
      <t xml:space="preserve"> :</t>
    </r>
    <r>
      <rPr>
        <sz val="8"/>
        <rFont val="Verdana"/>
        <family val="2"/>
      </rPr>
      <t xml:space="preserve"> Attention, restez les pieds sur terre, il ne faut pas s'écarter trop largement du temps calculé  </t>
    </r>
  </si>
  <si>
    <t xml:space="preserve">séance spécifique à vitesse de l'OBJECTIF </t>
  </si>
  <si>
    <t>date de l'épreuve :</t>
  </si>
  <si>
    <t>Test 10 Km seul ou sur compétition</t>
  </si>
  <si>
    <t>compétition ou assimilé</t>
  </si>
  <si>
    <t>30' END+VMA 2x         (5x60"/60")/4'récup</t>
  </si>
  <si>
    <t>30' END+VMA 2x     (6x30"/30")/4'récup</t>
  </si>
  <si>
    <t>30' END+VMA 2x    (10x20"/20")/4'récup</t>
  </si>
  <si>
    <t>55' ENDURANCE</t>
  </si>
  <si>
    <t>45'END dont 3X : 80M / Recup 80 M</t>
  </si>
  <si>
    <t>20' END + 5 x 5'      Récup 2' - 10' END</t>
  </si>
  <si>
    <t>Un plan sur 3 séances hebdomadaires</t>
  </si>
  <si>
    <t>55 ENDURANCE</t>
  </si>
  <si>
    <t>20'ECH + 6 X 400M RECUP = 2' 30"</t>
  </si>
  <si>
    <t>35' END + 3 x 3'      Récup 2' - 10' END</t>
  </si>
  <si>
    <t>Programme de planification d'entrainement pour le 20 Km.</t>
  </si>
  <si>
    <r>
      <t>RESULTAT Temps :</t>
    </r>
    <r>
      <rPr>
        <sz val="8"/>
        <rFont val="Verdana"/>
        <family val="2"/>
      </rPr>
      <t xml:space="preserve"> Le chiffre que vous obtiendrez est à reporter case </t>
    </r>
    <r>
      <rPr>
        <b/>
        <u val="single"/>
        <sz val="8"/>
        <color indexed="62"/>
        <rFont val="Verdana"/>
        <family val="2"/>
      </rPr>
      <t>B10</t>
    </r>
    <r>
      <rPr>
        <b/>
        <u val="single"/>
        <sz val="8"/>
        <rFont val="Verdana"/>
        <family val="2"/>
      </rPr>
      <t>.</t>
    </r>
  </si>
  <si>
    <r>
      <t>RESULTAT FCM :</t>
    </r>
    <r>
      <rPr>
        <sz val="8"/>
        <rFont val="Verdana"/>
        <family val="2"/>
      </rPr>
      <t xml:space="preserve"> Reportez le résultat case </t>
    </r>
    <r>
      <rPr>
        <b/>
        <u val="single"/>
        <sz val="8"/>
        <color indexed="62"/>
        <rFont val="Verdana"/>
        <family val="2"/>
      </rPr>
      <t>C17</t>
    </r>
    <r>
      <rPr>
        <u val="single"/>
        <sz val="8"/>
        <color indexed="62"/>
        <rFont val="Verdana"/>
        <family val="2"/>
      </rPr>
      <t>.</t>
    </r>
  </si>
  <si>
    <r>
      <t>que prévoit le résultat du test, vous entrez le temps désiré case</t>
    </r>
    <r>
      <rPr>
        <b/>
        <u val="single"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E9.</t>
    </r>
  </si>
  <si>
    <r>
      <t xml:space="preserve">Vous profiterez de ce test pour mesurer votre </t>
    </r>
    <r>
      <rPr>
        <b/>
        <u val="single"/>
        <sz val="8"/>
        <rFont val="Verdana"/>
        <family val="2"/>
      </rPr>
      <t>fréquence cardiaque maxi</t>
    </r>
    <r>
      <rPr>
        <b/>
        <sz val="8"/>
        <color indexed="48"/>
        <rFont val="Verdana"/>
        <family val="2"/>
      </rPr>
      <t xml:space="preserve"> </t>
    </r>
    <r>
      <rPr>
        <b/>
        <sz val="8"/>
        <color indexed="62"/>
        <rFont val="Verdana"/>
        <family val="2"/>
      </rPr>
      <t xml:space="preserve">(FCM) </t>
    </r>
    <r>
      <rPr>
        <sz val="8"/>
        <rFont val="Verdana"/>
        <family val="2"/>
      </rPr>
      <t>(en fin de test)</t>
    </r>
  </si>
  <si>
    <r>
      <t>RESULTAT FCRepos :</t>
    </r>
    <r>
      <rPr>
        <sz val="8"/>
        <rFont val="Verdana"/>
        <family val="2"/>
      </rPr>
      <t xml:space="preserve"> Reportez le résultat case </t>
    </r>
    <r>
      <rPr>
        <b/>
        <u val="single"/>
        <sz val="8"/>
        <color indexed="62"/>
        <rFont val="Verdana"/>
        <family val="2"/>
      </rPr>
      <t>C16</t>
    </r>
    <r>
      <rPr>
        <u val="single"/>
        <sz val="8"/>
        <color indexed="62"/>
        <rFont val="Verdana"/>
        <family val="2"/>
      </rPr>
      <t>.</t>
    </r>
  </si>
  <si>
    <r>
      <t xml:space="preserve">Dès que vous êtes en tenue, debout,  vous observez un repos de 15 secondes puis prenez votre fréquence cardiaque = </t>
    </r>
    <r>
      <rPr>
        <b/>
        <u val="single"/>
        <sz val="8"/>
        <color indexed="62"/>
        <rFont val="Verdana"/>
        <family val="2"/>
      </rPr>
      <t>FCRepos</t>
    </r>
  </si>
  <si>
    <r>
      <t xml:space="preserve">Iindiquez si votre test est sur </t>
    </r>
    <r>
      <rPr>
        <b/>
        <sz val="8"/>
        <rFont val="Verdana"/>
        <family val="2"/>
      </rPr>
      <t>2000m</t>
    </r>
    <r>
      <rPr>
        <sz val="8"/>
        <rFont val="Verdana"/>
        <family val="2"/>
      </rPr>
      <t xml:space="preserve"> ou </t>
    </r>
    <r>
      <rPr>
        <b/>
        <sz val="8"/>
        <rFont val="Verdana"/>
        <family val="2"/>
      </rPr>
      <t xml:space="preserve">1500m </t>
    </r>
    <r>
      <rPr>
        <sz val="8"/>
        <rFont val="Verdana"/>
        <family val="2"/>
      </rPr>
      <t>en case</t>
    </r>
    <r>
      <rPr>
        <b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B9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!</t>
    </r>
  </si>
  <si>
    <r>
      <t xml:space="preserve">Insérez la date de l'épreuve en case </t>
    </r>
    <r>
      <rPr>
        <b/>
        <u val="single"/>
        <sz val="10"/>
        <color indexed="62"/>
        <rFont val="Arial"/>
        <family val="2"/>
      </rPr>
      <t>E10</t>
    </r>
  </si>
  <si>
    <r>
      <t xml:space="preserve">Vous pouvez adapter la distance référence de la VMA en case </t>
    </r>
    <r>
      <rPr>
        <b/>
        <u val="single"/>
        <sz val="10"/>
        <color indexed="62"/>
        <rFont val="Arial"/>
        <family val="2"/>
      </rPr>
      <t>B18</t>
    </r>
    <r>
      <rPr>
        <sz val="10"/>
        <rFont val="Arial"/>
        <family val="0"/>
      </rPr>
      <t xml:space="preserve"> (lecture en </t>
    </r>
    <r>
      <rPr>
        <b/>
        <u val="single"/>
        <sz val="10"/>
        <color indexed="62"/>
        <rFont val="Arial"/>
        <family val="2"/>
      </rPr>
      <t>B19)</t>
    </r>
  </si>
  <si>
    <t>15' END + 4 x 8'     Récup 2' 30'' - 10' END</t>
  </si>
  <si>
    <t>25' END + 3 x 7'      Récup 2' - 10' END</t>
  </si>
  <si>
    <t>20 Km    :        OBJECTIF</t>
  </si>
  <si>
    <t>Votre objectif sur 20 Km (hh:mm:ss)</t>
  </si>
  <si>
    <t>Le 20 Km devra être couru à (mn:sec) / Kms:</t>
  </si>
  <si>
    <t>Allure théorique 20 Km:</t>
  </si>
  <si>
    <t>Votre temps théorique sur 20 Km:</t>
  </si>
  <si>
    <t>Sur quelle distance voulez-vous connaître votre allure VMA (mètres)</t>
  </si>
  <si>
    <t>Vos objectifs : (soyez réaliste!)</t>
  </si>
  <si>
    <r>
      <t xml:space="preserve">Votre </t>
    </r>
    <r>
      <rPr>
        <b/>
        <sz val="10"/>
        <color indexed="8"/>
        <rFont val="Arial"/>
        <family val="2"/>
      </rPr>
      <t>VMA</t>
    </r>
    <r>
      <rPr>
        <sz val="10"/>
        <color indexed="8"/>
        <rFont val="Arial"/>
        <family val="2"/>
      </rPr>
      <t xml:space="preserve"> (Km/heure):</t>
    </r>
  </si>
  <si>
    <t xml:space="preserve">Saisissez votre fréquence cardiaque au repos (debout)     :    </t>
  </si>
  <si>
    <t xml:space="preserve">Saisissez votre fréquence cardiaque maxi     : </t>
  </si>
  <si>
    <t>Indiquez la distance du test (2000m / 1500m)   :</t>
  </si>
  <si>
    <t>Saisissez le temps réalisé au test (hh:mm:ss)   :</t>
  </si>
  <si>
    <t>20' END + 5 x 6'      Récup 2'30'' - 10' END</t>
  </si>
  <si>
    <t>Compétition "contrôle"        15KM</t>
  </si>
  <si>
    <t>25' END + 4 x 1000m      Récup 2'30'' - 10' END</t>
  </si>
  <si>
    <t>25' END - 5 x 3'       Récup 2'30'' - 10' END</t>
  </si>
  <si>
    <r>
      <t>25' END+ 7 X 500M   R</t>
    </r>
    <r>
      <rPr>
        <sz val="8"/>
        <rFont val="Arial Narrow"/>
        <family val="2"/>
      </rPr>
      <t>ECUP 2' - 10' END</t>
    </r>
  </si>
  <si>
    <t>30' END+VMA 2x         (8x40"/40")/4'récup</t>
  </si>
  <si>
    <t>30' END+VMA 2x         (6x80"/60")/4'récup</t>
  </si>
  <si>
    <t>30' END+VMA 2x    (7x50"/50")/4'récup</t>
  </si>
  <si>
    <t>30' END+VMA 2x     (8x30"/30")/4'récup</t>
  </si>
  <si>
    <t>20'ECH + 6 x 1200M RECUP = 3' 30"</t>
  </si>
  <si>
    <r>
      <t>20' ECH + 6 X 900M RECUP = 3' 00"</t>
    </r>
  </si>
  <si>
    <t>45'END dont 3X : 80M vite / Recup 80 M</t>
  </si>
  <si>
    <t>Test 10 Km seul ou en compétition</t>
  </si>
  <si>
    <t xml:space="preserve">il faudra bien lever un peu le pied. </t>
  </si>
  <si>
    <t xml:space="preserve">Si vous vous sentez fatigué, facilitez ou sautez une séance. </t>
  </si>
  <si>
    <r>
      <t>Compétitions de préparation :</t>
    </r>
    <r>
      <rPr>
        <sz val="10"/>
        <color indexed="62"/>
        <rFont val="Arial"/>
        <family val="2"/>
      </rPr>
      <t xml:space="preserve"> </t>
    </r>
    <r>
      <rPr>
        <sz val="10"/>
        <rFont val="Arial"/>
        <family val="0"/>
      </rPr>
      <t xml:space="preserve">Débutez à l'allure spécifique de la préparation et tenez celle-ci jusqu'au moment ou </t>
    </r>
  </si>
  <si>
    <r>
      <t xml:space="preserve">L'utilisation du programme commence par le feuillet </t>
    </r>
    <r>
      <rPr>
        <b/>
        <sz val="12"/>
        <color indexed="20"/>
        <rFont val="Arial"/>
        <family val="2"/>
      </rPr>
      <t>Etalonnage</t>
    </r>
  </si>
  <si>
    <t xml:space="preserve"> </t>
  </si>
  <si>
    <r>
      <t xml:space="preserve">Les plans sont structurés sur </t>
    </r>
    <r>
      <rPr>
        <b/>
        <sz val="10"/>
        <color indexed="62"/>
        <rFont val="Arial"/>
        <family val="2"/>
      </rPr>
      <t>3 périodes de 4 semaines</t>
    </r>
    <r>
      <rPr>
        <b/>
        <sz val="10"/>
        <rFont val="Arial"/>
        <family val="2"/>
      </rPr>
      <t xml:space="preserve"> :</t>
    </r>
  </si>
  <si>
    <r>
      <t>Séances :</t>
    </r>
    <r>
      <rPr>
        <sz val="10"/>
        <rFont val="Arial"/>
        <family val="0"/>
      </rPr>
      <t xml:space="preserve"> le type d' allure visé  détermine la couleur de la case ou se situe la séance</t>
    </r>
  </si>
  <si>
    <t xml:space="preserve">% </t>
  </si>
  <si>
    <t xml:space="preserve">souhaités de la </t>
  </si>
  <si>
    <t>65' ENDURANCE</t>
  </si>
  <si>
    <t>70' ENDURANCE</t>
  </si>
  <si>
    <t>55' ENDURANCE   + 3 déboulés</t>
  </si>
  <si>
    <t>30' END - 7 x 2'       Récup 1' - 10' END</t>
  </si>
  <si>
    <t>30' END - 5 x 2'      Récup 1' 30''- 10' END</t>
  </si>
  <si>
    <t>55' ENDURANCE             dont 3 déboulés</t>
  </si>
  <si>
    <t>35' END - 5 x 3'       Récup 2'30'' - 15' END</t>
  </si>
  <si>
    <t>45' END - 7 x 2'       Récup 1' - 15' END</t>
  </si>
  <si>
    <t>30' END + 5 x 6'      Récup 2'30'' - 15' END</t>
  </si>
  <si>
    <t>30' END + 5 x 5'      Récup 2' - 15' END</t>
  </si>
  <si>
    <t>25' END + 6 x 4'      Récup 2' - 15' END</t>
  </si>
  <si>
    <t>20' END + 4 x 6'      Récup 2' - 10' END</t>
  </si>
  <si>
    <t>30' END + 3 x 7'      Récup 2' - 20' END</t>
  </si>
  <si>
    <t>35'END - 7 x 1'         Récup 2' - 10' END</t>
  </si>
  <si>
    <t>Seuil :</t>
  </si>
  <si>
    <t>k_semi_2</t>
  </si>
  <si>
    <t>fc_700</t>
  </si>
  <si>
    <t>20'ECH +                                   2 x : (5x 300M/ r = 2')                   RECUP = 5' 00"</t>
  </si>
  <si>
    <t>25'ECH +                               2 x : (5x 200M/ r = 2')                   RECUP = 5' 00"</t>
  </si>
  <si>
    <t>20'ECH + 6 X 400M    RECUP = 2' 30"</t>
  </si>
  <si>
    <t>30' END + 4 x 8'           Récup 2' 30'' - 20' END</t>
  </si>
  <si>
    <t>Sortie cool                                de 01H10 à 01h20</t>
  </si>
  <si>
    <t>Sortie cool                                    de 01h15' à 1H25'</t>
  </si>
  <si>
    <t>30' END - 5 x 2'         Récup 1' 30''- 10' END</t>
  </si>
  <si>
    <t>30' END - 7 x 2'           Récup 1' - 10' END</t>
  </si>
  <si>
    <t>Sortie cool                                de 1h20' à 1H30'</t>
  </si>
  <si>
    <t>Sortie cool                                de 1H10' à 1H20'</t>
  </si>
  <si>
    <t>Sortie cool                                de 1H20' à 1H40'</t>
  </si>
  <si>
    <t>20' END + 6 x 4'           Récup 2' - 10' END</t>
  </si>
  <si>
    <t>20' END + 4 x 7'           Récup 2'30'' - 10' END</t>
  </si>
  <si>
    <t>15' END + 4 x 8'         Récup 2' 30'' - 10' END</t>
  </si>
  <si>
    <t>25' END + 3 x 7'          Récup 2' - 10' END</t>
  </si>
  <si>
    <t xml:space="preserve">Sortie cool                                de 1H30' </t>
  </si>
  <si>
    <t>Sortie cool                                     de 1H10'</t>
  </si>
  <si>
    <t xml:space="preserve">Sortie cool                                 de 60' </t>
  </si>
  <si>
    <t>40' END - 5 x 2'         Récup 1' 30''- 10' END</t>
  </si>
  <si>
    <t>Sortie cool                                  de  1H105 à 1H10</t>
  </si>
  <si>
    <t>Sortie cool                                       de 01h05à 1H15</t>
  </si>
  <si>
    <t>Sortie cool                                        de 01H10 à 01h20</t>
  </si>
  <si>
    <t>Sortie cool                                        de 01h15' à 1H25'</t>
  </si>
  <si>
    <t>25'ECH +                                          2 x : (5x 200M/ r = 2')                   RECUP = 5' 00"</t>
  </si>
  <si>
    <r>
      <t>20' ECH + 6 X 900M    RECUP = 3' 00"</t>
    </r>
  </si>
  <si>
    <t>Sortie cool                                        de 1H20' à 1H40'</t>
  </si>
  <si>
    <t>Sortie cool                                       de 1H10' à 1H20'</t>
  </si>
  <si>
    <t>Sortie cool                                           de 1h20' à 1H30'</t>
  </si>
  <si>
    <t>20' END + 6 x 4'                      Récup 2' - 10' END</t>
  </si>
  <si>
    <t>50' ENDURANCE                         + 3 déboulés</t>
  </si>
  <si>
    <t>30' END+VMA                        2x (6x80"/60")/4'récup</t>
  </si>
  <si>
    <t>30' END+VMA                    2x (8x40"/40")/4'récup</t>
  </si>
  <si>
    <t>30' END+VMA                                2x  (8x30"/30")/4'récup</t>
  </si>
  <si>
    <t>30' END+VMA                          2x (7x50"/50")/4'récup</t>
  </si>
  <si>
    <t xml:space="preserve">Sortie cool                                  de 50' </t>
  </si>
  <si>
    <t xml:space="preserve">Sortie cool                                     de 50' </t>
  </si>
  <si>
    <t xml:space="preserve">Sortie cool                                   de 60' </t>
  </si>
  <si>
    <t>Sortie cool                                        de 1H10'</t>
  </si>
  <si>
    <t xml:space="preserve">Sortie cool                                         de 1H30' </t>
  </si>
  <si>
    <t>20' END + 4 x 7'                 Récup 2'30'' - 10' END</t>
  </si>
  <si>
    <t>Rouge clair</t>
  </si>
  <si>
    <t>Bleu clair</t>
  </si>
  <si>
    <t>Vitesse/km + FC de l'exercice - End</t>
  </si>
  <si>
    <t>Vert foncé</t>
  </si>
  <si>
    <t>séance d'endurance active</t>
  </si>
  <si>
    <t>Vert clair</t>
  </si>
  <si>
    <t>séance d'endurance de base</t>
  </si>
  <si>
    <t>Intensité VMA</t>
  </si>
  <si>
    <t>Intensité FC</t>
  </si>
  <si>
    <t>&gt; 100%</t>
  </si>
  <si>
    <t xml:space="preserve">  = ou &gt;110%</t>
  </si>
  <si>
    <t>80-85%</t>
  </si>
  <si>
    <t>Sortie cool de  1H10</t>
  </si>
  <si>
    <t>Sortie cool                               de 01h05 à 1H15</t>
  </si>
  <si>
    <t>Sortie cool                                 de 50' à 1H10</t>
  </si>
  <si>
    <t>25'ECH +                                   2 x : (5x 200M/ r = 2')                   RECUP = 5' 00"</t>
  </si>
  <si>
    <t>20'ECH +                                    2 x : (5x 300M/ r = 2')                   RECUP = 5' 00"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</si>
</sst>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-* #,##0\ _F_-;\-* #,##0\ _F_-;_-* &quot;-&quot;\ _F_-;_-@_-"/>
    <numFmt numFmtId="197" formatCode="_-* #,##0.00\ _F_-;\-* #,##0.00\ _F_-;_-* &quot;-&quot;??\ _F_-;_-@_-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0.0"/>
    <numFmt numFmtId="201" formatCode="dd\.mm\.yy"/>
    <numFmt numFmtId="202" formatCode="0.000"/>
    <numFmt numFmtId="203" formatCode="mm:ss.00"/>
    <numFmt numFmtId="204" formatCode="[$-80C]dddd\ d\ mmmm\ yyyy"/>
    <numFmt numFmtId="205" formatCode="[$-F400]h:mm:ss\ AM/PM"/>
    <numFmt numFmtId="206" formatCode="hh:mm:ss;@"/>
    <numFmt numFmtId="207" formatCode="h:mm:ss;@"/>
    <numFmt numFmtId="208" formatCode="&quot;Vrai&quot;;&quot;Vrai&quot;;&quot;Faux&quot;"/>
    <numFmt numFmtId="209" formatCode="&quot;Actif&quot;;&quot;Actif&quot;;&quot;Inactif&quot;"/>
  </numFmts>
  <fonts count="114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u val="single"/>
      <sz val="8"/>
      <name val="Verdana"/>
      <family val="2"/>
    </font>
    <font>
      <sz val="8"/>
      <color indexed="9"/>
      <name val="Arial"/>
      <family val="2"/>
    </font>
    <font>
      <b/>
      <sz val="10"/>
      <color indexed="8"/>
      <name val="Verdana"/>
      <family val="2"/>
    </font>
    <font>
      <sz val="12"/>
      <color indexed="8"/>
      <name val="Arial"/>
      <family val="2"/>
    </font>
    <font>
      <b/>
      <sz val="10.5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22"/>
      <name val="Arial"/>
      <family val="2"/>
    </font>
    <font>
      <b/>
      <sz val="14"/>
      <color indexed="8"/>
      <name val="Times New Roman"/>
      <family val="1"/>
    </font>
    <font>
      <sz val="10"/>
      <color indexed="20"/>
      <name val="Verdana"/>
      <family val="2"/>
    </font>
    <font>
      <b/>
      <sz val="8"/>
      <color indexed="62"/>
      <name val="Verdana"/>
      <family val="2"/>
    </font>
    <font>
      <b/>
      <u val="single"/>
      <sz val="8"/>
      <color indexed="62"/>
      <name val="Verdana"/>
      <family val="2"/>
    </font>
    <font>
      <u val="single"/>
      <sz val="8"/>
      <color indexed="62"/>
      <name val="Verdana"/>
      <family val="2"/>
    </font>
    <font>
      <b/>
      <sz val="9"/>
      <color indexed="62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Verdan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23"/>
      <name val="Arial Narrow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u val="single"/>
      <sz val="8"/>
      <color indexed="62"/>
      <name val="Arial"/>
      <family val="2"/>
    </font>
    <font>
      <sz val="9"/>
      <color indexed="8"/>
      <name val="Arial Narrow"/>
      <family val="2"/>
    </font>
    <font>
      <b/>
      <sz val="9"/>
      <color indexed="20"/>
      <name val="Arial Rounded MT Bold"/>
      <family val="2"/>
    </font>
    <font>
      <b/>
      <sz val="8"/>
      <color indexed="48"/>
      <name val="Verdana"/>
      <family val="2"/>
    </font>
    <font>
      <b/>
      <u val="single"/>
      <sz val="10"/>
      <color indexed="62"/>
      <name val="Arial"/>
      <family val="2"/>
    </font>
    <font>
      <i/>
      <sz val="10"/>
      <color indexed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2"/>
      <color indexed="2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53"/>
      <name val="Verdana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4"/>
      <color indexed="2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20"/>
      <name val="Times New Roman"/>
      <family val="1"/>
    </font>
    <font>
      <sz val="14"/>
      <color indexed="20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2"/>
      <name val="Arial Narrow"/>
      <family val="2"/>
    </font>
    <font>
      <b/>
      <u val="single"/>
      <sz val="14"/>
      <color indexed="20"/>
      <name val="Times New Roman"/>
      <family val="1"/>
    </font>
    <font>
      <sz val="14"/>
      <color indexed="8"/>
      <name val="Times New Roman"/>
      <family val="1"/>
    </font>
    <font>
      <b/>
      <sz val="13"/>
      <color indexed="62"/>
      <name val="Times New Roman"/>
      <family val="1"/>
    </font>
    <font>
      <b/>
      <u val="single"/>
      <sz val="16"/>
      <color indexed="20"/>
      <name val="Times New Roman"/>
      <family val="1"/>
    </font>
    <font>
      <b/>
      <sz val="9"/>
      <color indexed="20"/>
      <name val="Arial Narrow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0" borderId="2" applyNumberFormat="0" applyFill="0" applyAlignment="0" applyProtection="0"/>
    <xf numFmtId="0" fontId="102" fillId="28" borderId="1" applyNumberFormat="0" applyAlignment="0" applyProtection="0"/>
    <xf numFmtId="0" fontId="10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105" fillId="27" borderId="4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0" fontId="112" fillId="32" borderId="9" applyNumberFormat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1" fontId="24" fillId="33" borderId="11" xfId="0" applyNumberFormat="1" applyFont="1" applyFill="1" applyBorder="1" applyAlignment="1" applyProtection="1">
      <alignment horizontal="center" vertical="center" wrapText="1"/>
      <protection/>
    </xf>
    <xf numFmtId="206" fontId="24" fillId="33" borderId="10" xfId="0" applyNumberFormat="1" applyFont="1" applyFill="1" applyBorder="1" applyAlignment="1" applyProtection="1">
      <alignment horizontal="center" vertical="center" wrapText="1"/>
      <protection/>
    </xf>
    <xf numFmtId="205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0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1" fontId="28" fillId="33" borderId="11" xfId="0" applyNumberFormat="1" applyFont="1" applyFill="1" applyBorder="1" applyAlignment="1" applyProtection="1">
      <alignment horizontal="center" vertical="center" wrapText="1"/>
      <protection/>
    </xf>
    <xf numFmtId="206" fontId="28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0" borderId="13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45" fontId="29" fillId="0" borderId="16" xfId="0" applyNumberFormat="1" applyFont="1" applyFill="1" applyBorder="1" applyAlignment="1">
      <alignment horizontal="center" vertical="center" wrapText="1"/>
    </xf>
    <xf numFmtId="45" fontId="29" fillId="0" borderId="17" xfId="0" applyNumberFormat="1" applyFont="1" applyFill="1" applyBorder="1" applyAlignment="1">
      <alignment horizontal="center" vertical="center" wrapText="1"/>
    </xf>
    <xf numFmtId="45" fontId="29" fillId="0" borderId="18" xfId="0" applyNumberFormat="1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29" fillId="36" borderId="25" xfId="0" applyFont="1" applyFill="1" applyBorder="1" applyAlignment="1">
      <alignment horizontal="center" vertical="center" wrapText="1"/>
    </xf>
    <xf numFmtId="205" fontId="28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0" borderId="17" xfId="0" applyNumberFormat="1" applyFont="1" applyFill="1" applyBorder="1" applyAlignment="1">
      <alignment horizontal="center" vertical="center" wrapText="1"/>
    </xf>
    <xf numFmtId="206" fontId="29" fillId="37" borderId="18" xfId="0" applyNumberFormat="1" applyFont="1" applyFill="1" applyBorder="1" applyAlignment="1">
      <alignment horizontal="center" vertical="center" wrapText="1"/>
    </xf>
    <xf numFmtId="1" fontId="29" fillId="37" borderId="15" xfId="0" applyNumberFormat="1" applyFont="1" applyFill="1" applyBorder="1" applyAlignment="1">
      <alignment horizontal="center" vertical="center" wrapText="1"/>
    </xf>
    <xf numFmtId="0" fontId="29" fillId="38" borderId="26" xfId="0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45" fontId="29" fillId="0" borderId="28" xfId="0" applyNumberFormat="1" applyFont="1" applyFill="1" applyBorder="1" applyAlignment="1">
      <alignment horizontal="center" vertical="center" wrapText="1"/>
    </xf>
    <xf numFmtId="0" fontId="29" fillId="39" borderId="29" xfId="0" applyFont="1" applyFill="1" applyBorder="1" applyAlignment="1">
      <alignment horizontal="center" vertical="center" wrapText="1"/>
    </xf>
    <xf numFmtId="1" fontId="29" fillId="0" borderId="30" xfId="0" applyNumberFormat="1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29" fillId="34" borderId="32" xfId="0" applyFont="1" applyFill="1" applyBorder="1" applyAlignment="1">
      <alignment horizontal="center" vertical="center" wrapText="1"/>
    </xf>
    <xf numFmtId="0" fontId="29" fillId="34" borderId="3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1" fontId="29" fillId="0" borderId="34" xfId="0" applyNumberFormat="1" applyFont="1" applyFill="1" applyBorder="1" applyAlignment="1">
      <alignment horizontal="center" vertical="center" wrapText="1"/>
    </xf>
    <xf numFmtId="1" fontId="29" fillId="0" borderId="35" xfId="0" applyNumberFormat="1" applyFont="1" applyFill="1" applyBorder="1" applyAlignment="1">
      <alignment horizontal="center" vertical="center" wrapText="1"/>
    </xf>
    <xf numFmtId="207" fontId="29" fillId="37" borderId="18" xfId="0" applyNumberFormat="1" applyFont="1" applyFill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7" xfId="0" applyFont="1" applyBorder="1" applyAlignment="1">
      <alignment/>
    </xf>
    <xf numFmtId="0" fontId="49" fillId="38" borderId="26" xfId="0" applyFont="1" applyFill="1" applyBorder="1" applyAlignment="1">
      <alignment horizontal="center" vertical="center" wrapText="1"/>
    </xf>
    <xf numFmtId="0" fontId="35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9" fontId="43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6" fillId="40" borderId="41" xfId="0" applyFont="1" applyFill="1" applyBorder="1" applyAlignment="1">
      <alignment horizontal="right" wrapText="1"/>
    </xf>
    <xf numFmtId="1" fontId="52" fillId="38" borderId="41" xfId="0" applyNumberFormat="1" applyFont="1" applyFill="1" applyBorder="1" applyAlignment="1" applyProtection="1">
      <alignment horizontal="center" vertical="center"/>
      <protection locked="0"/>
    </xf>
    <xf numFmtId="0" fontId="16" fillId="40" borderId="42" xfId="0" applyFont="1" applyFill="1" applyBorder="1" applyAlignment="1" applyProtection="1">
      <alignment horizontal="right" wrapText="1"/>
      <protection/>
    </xf>
    <xf numFmtId="21" fontId="2" fillId="38" borderId="41" xfId="0" applyNumberFormat="1" applyFont="1" applyFill="1" applyBorder="1" applyAlignment="1" applyProtection="1">
      <alignment horizontal="center" vertical="center"/>
      <protection locked="0"/>
    </xf>
    <xf numFmtId="0" fontId="16" fillId="40" borderId="43" xfId="0" applyFont="1" applyFill="1" applyBorder="1" applyAlignment="1">
      <alignment horizontal="right" wrapText="1"/>
    </xf>
    <xf numFmtId="21" fontId="2" fillId="38" borderId="43" xfId="0" applyNumberFormat="1" applyFont="1" applyFill="1" applyBorder="1" applyAlignment="1" applyProtection="1">
      <alignment horizontal="center" vertical="center"/>
      <protection locked="0"/>
    </xf>
    <xf numFmtId="0" fontId="2" fillId="41" borderId="43" xfId="0" applyFont="1" applyFill="1" applyBorder="1" applyAlignment="1">
      <alignment horizontal="right" vertical="center"/>
    </xf>
    <xf numFmtId="49" fontId="2" fillId="41" borderId="43" xfId="0" applyNumberFormat="1" applyFont="1" applyFill="1" applyBorder="1" applyAlignment="1">
      <alignment horizontal="center" vertical="center"/>
    </xf>
    <xf numFmtId="1" fontId="2" fillId="41" borderId="43" xfId="0" applyNumberFormat="1" applyFont="1" applyFill="1" applyBorder="1" applyAlignment="1">
      <alignment horizontal="center" vertical="center"/>
    </xf>
    <xf numFmtId="2" fontId="2" fillId="41" borderId="43" xfId="0" applyNumberFormat="1" applyFont="1" applyFill="1" applyBorder="1" applyAlignment="1">
      <alignment horizontal="center" vertical="center"/>
    </xf>
    <xf numFmtId="2" fontId="4" fillId="41" borderId="43" xfId="0" applyNumberFormat="1" applyFont="1" applyFill="1" applyBorder="1" applyAlignment="1">
      <alignment horizontal="center" vertical="center"/>
    </xf>
    <xf numFmtId="0" fontId="2" fillId="41" borderId="44" xfId="0" applyFont="1" applyFill="1" applyBorder="1" applyAlignment="1">
      <alignment horizontal="right" vertical="center"/>
    </xf>
    <xf numFmtId="200" fontId="2" fillId="41" borderId="44" xfId="0" applyNumberFormat="1" applyFont="1" applyFill="1" applyBorder="1" applyAlignment="1">
      <alignment horizontal="center" vertical="center"/>
    </xf>
    <xf numFmtId="0" fontId="16" fillId="40" borderId="42" xfId="0" applyFont="1" applyFill="1" applyBorder="1" applyAlignment="1">
      <alignment horizontal="right" wrapText="1"/>
    </xf>
    <xf numFmtId="21" fontId="2" fillId="42" borderId="44" xfId="0" applyNumberFormat="1" applyFont="1" applyFill="1" applyBorder="1" applyAlignment="1">
      <alignment horizontal="center" vertical="center"/>
    </xf>
    <xf numFmtId="0" fontId="26" fillId="43" borderId="45" xfId="0" applyFont="1" applyFill="1" applyBorder="1" applyAlignment="1" applyProtection="1">
      <alignment horizontal="center" vertical="center"/>
      <protection/>
    </xf>
    <xf numFmtId="0" fontId="16" fillId="40" borderId="46" xfId="0" applyFont="1" applyFill="1" applyBorder="1" applyAlignment="1" applyProtection="1">
      <alignment horizontal="right" wrapText="1"/>
      <protection/>
    </xf>
    <xf numFmtId="201" fontId="2" fillId="38" borderId="47" xfId="0" applyNumberFormat="1" applyFont="1" applyFill="1" applyBorder="1" applyAlignment="1" applyProtection="1">
      <alignment horizontal="center" vertical="center"/>
      <protection locked="0"/>
    </xf>
    <xf numFmtId="206" fontId="2" fillId="44" borderId="48" xfId="0" applyNumberFormat="1" applyFont="1" applyFill="1" applyBorder="1" applyAlignment="1" applyProtection="1">
      <alignment horizontal="center" vertical="center"/>
      <protection/>
    </xf>
    <xf numFmtId="206" fontId="2" fillId="44" borderId="37" xfId="0" applyNumberFormat="1" applyFont="1" applyFill="1" applyBorder="1" applyAlignment="1" applyProtection="1">
      <alignment horizontal="center" vertical="center"/>
      <protection/>
    </xf>
    <xf numFmtId="206" fontId="2" fillId="44" borderId="40" xfId="0" applyNumberFormat="1" applyFont="1" applyFill="1" applyBorder="1" applyAlignment="1" applyProtection="1">
      <alignment horizontal="center" vertical="center"/>
      <protection/>
    </xf>
    <xf numFmtId="0" fontId="16" fillId="44" borderId="0" xfId="0" applyFont="1" applyFill="1" applyBorder="1" applyAlignment="1" applyProtection="1">
      <alignment horizontal="right" wrapText="1"/>
      <protection/>
    </xf>
    <xf numFmtId="0" fontId="16" fillId="44" borderId="49" xfId="0" applyFont="1" applyFill="1" applyBorder="1" applyAlignment="1">
      <alignment horizontal="right" wrapText="1"/>
    </xf>
    <xf numFmtId="0" fontId="16" fillId="44" borderId="50" xfId="0" applyFont="1" applyFill="1" applyBorder="1" applyAlignment="1">
      <alignment horizontal="right" wrapText="1"/>
    </xf>
    <xf numFmtId="1" fontId="2" fillId="41" borderId="51" xfId="0" applyNumberFormat="1" applyFont="1" applyFill="1" applyBorder="1" applyAlignment="1">
      <alignment horizontal="center" vertical="center"/>
    </xf>
    <xf numFmtId="0" fontId="2" fillId="38" borderId="41" xfId="0" applyFont="1" applyFill="1" applyBorder="1" applyAlignment="1" applyProtection="1">
      <alignment horizontal="center" vertical="center"/>
      <protection locked="0"/>
    </xf>
    <xf numFmtId="21" fontId="2" fillId="41" borderId="43" xfId="0" applyNumberFormat="1" applyFont="1" applyFill="1" applyBorder="1" applyAlignment="1">
      <alignment horizontal="center" vertical="center"/>
    </xf>
    <xf numFmtId="0" fontId="16" fillId="44" borderId="52" xfId="0" applyFont="1" applyFill="1" applyBorder="1" applyAlignment="1" applyProtection="1">
      <alignment horizontal="right" wrapText="1"/>
      <protection/>
    </xf>
    <xf numFmtId="0" fontId="16" fillId="44" borderId="39" xfId="0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66" fillId="45" borderId="53" xfId="0" applyFont="1" applyFill="1" applyBorder="1" applyAlignment="1">
      <alignment horizontal="center"/>
    </xf>
    <xf numFmtId="0" fontId="67" fillId="34" borderId="54" xfId="0" applyFont="1" applyFill="1" applyBorder="1" applyAlignment="1">
      <alignment horizontal="center"/>
    </xf>
    <xf numFmtId="0" fontId="67" fillId="34" borderId="55" xfId="0" applyFont="1" applyFill="1" applyBorder="1" applyAlignment="1">
      <alignment horizontal="center"/>
    </xf>
    <xf numFmtId="0" fontId="67" fillId="34" borderId="56" xfId="0" applyFont="1" applyFill="1" applyBorder="1" applyAlignment="1">
      <alignment horizontal="center"/>
    </xf>
    <xf numFmtId="0" fontId="68" fillId="45" borderId="57" xfId="0" applyFont="1" applyFill="1" applyBorder="1" applyAlignment="1">
      <alignment horizontal="center"/>
    </xf>
    <xf numFmtId="0" fontId="68" fillId="45" borderId="43" xfId="0" applyFont="1" applyFill="1" applyBorder="1" applyAlignment="1">
      <alignment horizontal="center"/>
    </xf>
    <xf numFmtId="0" fontId="68" fillId="45" borderId="58" xfId="0" applyFont="1" applyFill="1" applyBorder="1" applyAlignment="1">
      <alignment horizontal="center"/>
    </xf>
    <xf numFmtId="0" fontId="68" fillId="45" borderId="59" xfId="0" applyFont="1" applyFill="1" applyBorder="1" applyAlignment="1">
      <alignment horizontal="center"/>
    </xf>
    <xf numFmtId="0" fontId="68" fillId="45" borderId="60" xfId="0" applyFont="1" applyFill="1" applyBorder="1" applyAlignment="1">
      <alignment horizontal="center"/>
    </xf>
    <xf numFmtId="0" fontId="5" fillId="45" borderId="53" xfId="0" applyFont="1" applyFill="1" applyBorder="1" applyAlignment="1">
      <alignment horizontal="center"/>
    </xf>
    <xf numFmtId="0" fontId="70" fillId="39" borderId="22" xfId="0" applyFont="1" applyFill="1" applyBorder="1" applyAlignment="1">
      <alignment horizontal="right"/>
    </xf>
    <xf numFmtId="0" fontId="68" fillId="46" borderId="55" xfId="0" applyFont="1" applyFill="1" applyBorder="1" applyAlignment="1">
      <alignment horizontal="center"/>
    </xf>
    <xf numFmtId="0" fontId="67" fillId="39" borderId="56" xfId="0" applyFont="1" applyFill="1" applyBorder="1" applyAlignment="1">
      <alignment horizontal="center"/>
    </xf>
    <xf numFmtId="203" fontId="72" fillId="39" borderId="61" xfId="0" applyNumberFormat="1" applyFont="1" applyFill="1" applyBorder="1" applyAlignment="1" applyProtection="1">
      <alignment horizontal="center"/>
      <protection hidden="1"/>
    </xf>
    <xf numFmtId="203" fontId="72" fillId="39" borderId="62" xfId="0" applyNumberFormat="1" applyFont="1" applyFill="1" applyBorder="1" applyAlignment="1" applyProtection="1">
      <alignment horizontal="center"/>
      <protection hidden="1"/>
    </xf>
    <xf numFmtId="203" fontId="72" fillId="39" borderId="63" xfId="0" applyNumberFormat="1" applyFont="1" applyFill="1" applyBorder="1" applyAlignment="1" applyProtection="1">
      <alignment horizontal="center"/>
      <protection hidden="1"/>
    </xf>
    <xf numFmtId="203" fontId="72" fillId="39" borderId="64" xfId="0" applyNumberFormat="1" applyFont="1" applyFill="1" applyBorder="1" applyAlignment="1" applyProtection="1">
      <alignment horizontal="center"/>
      <protection hidden="1"/>
    </xf>
    <xf numFmtId="203" fontId="72" fillId="39" borderId="25" xfId="0" applyNumberFormat="1" applyFont="1" applyFill="1" applyBorder="1" applyAlignment="1" applyProtection="1">
      <alignment horizontal="center"/>
      <protection hidden="1"/>
    </xf>
    <xf numFmtId="203" fontId="72" fillId="39" borderId="65" xfId="0" applyNumberFormat="1" applyFont="1" applyFill="1" applyBorder="1" applyAlignment="1" applyProtection="1">
      <alignment horizontal="center"/>
      <protection hidden="1"/>
    </xf>
    <xf numFmtId="203" fontId="72" fillId="39" borderId="66" xfId="0" applyNumberFormat="1" applyFont="1" applyFill="1" applyBorder="1" applyAlignment="1" applyProtection="1">
      <alignment horizontal="center"/>
      <protection hidden="1"/>
    </xf>
    <xf numFmtId="203" fontId="72" fillId="39" borderId="26" xfId="0" applyNumberFormat="1" applyFont="1" applyFill="1" applyBorder="1" applyAlignment="1" applyProtection="1">
      <alignment horizontal="center"/>
      <protection hidden="1"/>
    </xf>
    <xf numFmtId="203" fontId="72" fillId="39" borderId="67" xfId="0" applyNumberFormat="1" applyFont="1" applyFill="1" applyBorder="1" applyAlignment="1" applyProtection="1">
      <alignment horizontal="center"/>
      <protection hidden="1"/>
    </xf>
    <xf numFmtId="0" fontId="73" fillId="39" borderId="22" xfId="0" applyFont="1" applyFill="1" applyBorder="1" applyAlignment="1">
      <alignment/>
    </xf>
    <xf numFmtId="0" fontId="32" fillId="39" borderId="54" xfId="0" applyFont="1" applyFill="1" applyBorder="1" applyAlignment="1">
      <alignment horizontal="center"/>
    </xf>
    <xf numFmtId="0" fontId="66" fillId="38" borderId="68" xfId="0" applyFont="1" applyFill="1" applyBorder="1" applyAlignment="1" applyProtection="1">
      <alignment horizontal="center"/>
      <protection locked="0"/>
    </xf>
    <xf numFmtId="0" fontId="74" fillId="37" borderId="24" xfId="0" applyFont="1" applyFill="1" applyBorder="1" applyAlignment="1">
      <alignment horizontal="center"/>
    </xf>
    <xf numFmtId="0" fontId="71" fillId="47" borderId="55" xfId="0" applyFont="1" applyFill="1" applyBorder="1" applyAlignment="1" applyProtection="1">
      <alignment horizontal="center"/>
      <protection locked="0"/>
    </xf>
    <xf numFmtId="206" fontId="75" fillId="48" borderId="56" xfId="0" applyNumberFormat="1" applyFont="1" applyFill="1" applyBorder="1" applyAlignment="1" applyProtection="1">
      <alignment horizontal="center"/>
      <protection hidden="1"/>
    </xf>
    <xf numFmtId="0" fontId="74" fillId="49" borderId="0" xfId="0" applyFont="1" applyFill="1" applyBorder="1" applyAlignment="1">
      <alignment/>
    </xf>
    <xf numFmtId="0" fontId="1" fillId="49" borderId="37" xfId="0" applyFont="1" applyFill="1" applyBorder="1" applyAlignment="1">
      <alignment/>
    </xf>
    <xf numFmtId="0" fontId="74" fillId="49" borderId="39" xfId="0" applyFont="1" applyFill="1" applyBorder="1" applyAlignment="1">
      <alignment/>
    </xf>
    <xf numFmtId="0" fontId="1" fillId="49" borderId="40" xfId="0" applyFont="1" applyFill="1" applyBorder="1" applyAlignment="1">
      <alignment/>
    </xf>
    <xf numFmtId="0" fontId="32" fillId="39" borderId="69" xfId="0" applyFont="1" applyFill="1" applyBorder="1" applyAlignment="1">
      <alignment horizontal="center"/>
    </xf>
    <xf numFmtId="0" fontId="66" fillId="38" borderId="70" xfId="0" applyFont="1" applyFill="1" applyBorder="1" applyAlignment="1" applyProtection="1">
      <alignment horizontal="center"/>
      <protection locked="0"/>
    </xf>
    <xf numFmtId="1" fontId="29" fillId="0" borderId="71" xfId="0" applyNumberFormat="1" applyFont="1" applyFill="1" applyBorder="1" applyAlignment="1">
      <alignment horizontal="center" vertical="center" wrapText="1"/>
    </xf>
    <xf numFmtId="1" fontId="29" fillId="0" borderId="72" xfId="0" applyNumberFormat="1" applyFont="1" applyFill="1" applyBorder="1" applyAlignment="1">
      <alignment horizontal="center" vertical="center" wrapText="1"/>
    </xf>
    <xf numFmtId="0" fontId="28" fillId="33" borderId="73" xfId="0" applyFont="1" applyFill="1" applyBorder="1" applyAlignment="1" applyProtection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" fillId="41" borderId="75" xfId="0" applyNumberFormat="1" applyFont="1" applyFill="1" applyBorder="1" applyAlignment="1">
      <alignment horizontal="center" vertical="center"/>
    </xf>
    <xf numFmtId="1" fontId="2" fillId="47" borderId="72" xfId="0" applyNumberFormat="1" applyFont="1" applyFill="1" applyBorder="1" applyAlignment="1" applyProtection="1">
      <alignment horizontal="center" vertical="center"/>
      <protection locked="0"/>
    </xf>
    <xf numFmtId="0" fontId="2" fillId="38" borderId="76" xfId="0" applyFont="1" applyFill="1" applyBorder="1" applyAlignment="1" applyProtection="1">
      <alignment horizontal="center" vertical="center"/>
      <protection locked="0"/>
    </xf>
    <xf numFmtId="1" fontId="2" fillId="41" borderId="77" xfId="0" applyNumberFormat="1" applyFont="1" applyFill="1" applyBorder="1" applyAlignment="1">
      <alignment horizontal="center" vertical="center"/>
    </xf>
    <xf numFmtId="0" fontId="57" fillId="50" borderId="40" xfId="0" applyFont="1" applyFill="1" applyBorder="1" applyAlignment="1" applyProtection="1">
      <alignment horizontal="right" wrapText="1"/>
      <protection/>
    </xf>
    <xf numFmtId="206" fontId="56" fillId="51" borderId="78" xfId="0" applyNumberFormat="1" applyFont="1" applyFill="1" applyBorder="1" applyAlignment="1" applyProtection="1">
      <alignment horizontal="center" vertical="center"/>
      <protection/>
    </xf>
    <xf numFmtId="0" fontId="16" fillId="44" borderId="42" xfId="0" applyFont="1" applyFill="1" applyBorder="1" applyAlignment="1" applyProtection="1">
      <alignment horizontal="right" wrapText="1"/>
      <protection/>
    </xf>
    <xf numFmtId="45" fontId="2" fillId="41" borderId="41" xfId="0" applyNumberFormat="1" applyFont="1" applyFill="1" applyBorder="1" applyAlignment="1" applyProtection="1">
      <alignment horizontal="center" vertical="center"/>
      <protection/>
    </xf>
    <xf numFmtId="0" fontId="16" fillId="44" borderId="46" xfId="0" applyFont="1" applyFill="1" applyBorder="1" applyAlignment="1" applyProtection="1">
      <alignment horizontal="right" wrapText="1"/>
      <protection/>
    </xf>
    <xf numFmtId="0" fontId="16" fillId="44" borderId="38" xfId="0" applyFont="1" applyFill="1" applyBorder="1" applyAlignment="1" applyProtection="1">
      <alignment horizontal="right" wrapText="1"/>
      <protection/>
    </xf>
    <xf numFmtId="0" fontId="16" fillId="44" borderId="36" xfId="0" applyFont="1" applyFill="1" applyBorder="1" applyAlignment="1" applyProtection="1">
      <alignment horizontal="right" wrapText="1"/>
      <protection/>
    </xf>
    <xf numFmtId="45" fontId="2" fillId="41" borderId="47" xfId="0" applyNumberFormat="1" applyFont="1" applyFill="1" applyBorder="1" applyAlignment="1" applyProtection="1">
      <alignment horizontal="center" vertical="center"/>
      <protection/>
    </xf>
    <xf numFmtId="0" fontId="16" fillId="44" borderId="79" xfId="0" applyFont="1" applyFill="1" applyBorder="1" applyAlignment="1" applyProtection="1">
      <alignment horizontal="right" wrapText="1"/>
      <protection/>
    </xf>
    <xf numFmtId="0" fontId="0" fillId="44" borderId="48" xfId="0" applyFill="1" applyBorder="1" applyAlignment="1">
      <alignment/>
    </xf>
    <xf numFmtId="0" fontId="0" fillId="44" borderId="37" xfId="0" applyFill="1" applyBorder="1" applyAlignment="1">
      <alignment/>
    </xf>
    <xf numFmtId="49" fontId="2" fillId="52" borderId="37" xfId="0" applyNumberFormat="1" applyFont="1" applyFill="1" applyBorder="1" applyAlignment="1" applyProtection="1">
      <alignment horizontal="center" vertical="center"/>
      <protection/>
    </xf>
    <xf numFmtId="21" fontId="2" fillId="52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" fontId="2" fillId="34" borderId="17" xfId="0" applyNumberFormat="1" applyFont="1" applyFill="1" applyBorder="1" applyAlignment="1">
      <alignment horizontal="center" vertical="center"/>
    </xf>
    <xf numFmtId="2" fontId="2" fillId="34" borderId="17" xfId="0" applyNumberFormat="1" applyFont="1" applyFill="1" applyBorder="1" applyAlignment="1">
      <alignment horizontal="center" vertical="center"/>
    </xf>
    <xf numFmtId="202" fontId="2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21" fontId="2" fillId="34" borderId="17" xfId="0" applyNumberFormat="1" applyFont="1" applyFill="1" applyBorder="1" applyAlignment="1">
      <alignment horizontal="center" vertical="center" wrapText="1"/>
    </xf>
    <xf numFmtId="21" fontId="2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8" fillId="0" borderId="0" xfId="0" applyFont="1" applyFill="1" applyAlignment="1">
      <alignment/>
    </xf>
    <xf numFmtId="0" fontId="2" fillId="41" borderId="43" xfId="0" applyNumberFormat="1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/>
    </xf>
    <xf numFmtId="1" fontId="42" fillId="0" borderId="3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05" fontId="24" fillId="33" borderId="80" xfId="0" applyNumberFormat="1" applyFont="1" applyFill="1" applyBorder="1" applyAlignment="1" applyProtection="1">
      <alignment horizontal="center" vertical="center" wrapText="1"/>
      <protection/>
    </xf>
    <xf numFmtId="0" fontId="0" fillId="44" borderId="37" xfId="0" applyFont="1" applyFill="1" applyBorder="1" applyAlignment="1">
      <alignment/>
    </xf>
    <xf numFmtId="0" fontId="48" fillId="36" borderId="25" xfId="0" applyFont="1" applyFill="1" applyBorder="1" applyAlignment="1">
      <alignment horizontal="center" vertical="center" wrapText="1"/>
    </xf>
    <xf numFmtId="0" fontId="77" fillId="53" borderId="0" xfId="0" applyFont="1" applyFill="1" applyBorder="1" applyAlignment="1">
      <alignment horizontal="center" vertical="center" wrapText="1"/>
    </xf>
    <xf numFmtId="9" fontId="13" fillId="0" borderId="0" xfId="0" applyNumberFormat="1" applyFont="1" applyAlignment="1">
      <alignment/>
    </xf>
    <xf numFmtId="0" fontId="38" fillId="34" borderId="27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9" fontId="0" fillId="0" borderId="14" xfId="0" applyNumberFormat="1" applyFont="1" applyBorder="1" applyAlignment="1">
      <alignment horizontal="right"/>
    </xf>
    <xf numFmtId="9" fontId="0" fillId="0" borderId="20" xfId="0" applyNumberFormat="1" applyFont="1" applyBorder="1" applyAlignment="1">
      <alignment horizontal="right"/>
    </xf>
    <xf numFmtId="9" fontId="0" fillId="0" borderId="2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0" fontId="29" fillId="54" borderId="26" xfId="0" applyFont="1" applyFill="1" applyBorder="1" applyAlignment="1">
      <alignment horizontal="center" vertical="center" wrapText="1"/>
    </xf>
    <xf numFmtId="0" fontId="29" fillId="55" borderId="25" xfId="0" applyFont="1" applyFill="1" applyBorder="1" applyAlignment="1">
      <alignment horizontal="center" vertical="center" wrapText="1"/>
    </xf>
    <xf numFmtId="0" fontId="29" fillId="54" borderId="25" xfId="0" applyFont="1" applyFill="1" applyBorder="1" applyAlignment="1">
      <alignment horizontal="center" vertical="center" wrapText="1"/>
    </xf>
    <xf numFmtId="0" fontId="29" fillId="54" borderId="81" xfId="0" applyFont="1" applyFill="1" applyBorder="1" applyAlignment="1">
      <alignment horizontal="center" vertical="center" wrapText="1"/>
    </xf>
    <xf numFmtId="0" fontId="29" fillId="55" borderId="62" xfId="0" applyFont="1" applyFill="1" applyBorder="1" applyAlignment="1">
      <alignment horizontal="center" vertical="center" wrapText="1"/>
    </xf>
    <xf numFmtId="0" fontId="29" fillId="54" borderId="82" xfId="0" applyFont="1" applyFill="1" applyBorder="1" applyAlignment="1">
      <alignment horizontal="center" vertical="center" wrapText="1"/>
    </xf>
    <xf numFmtId="0" fontId="29" fillId="56" borderId="25" xfId="0" applyFont="1" applyFill="1" applyBorder="1" applyAlignment="1">
      <alignment horizontal="center" vertical="center" wrapText="1"/>
    </xf>
    <xf numFmtId="0" fontId="29" fillId="54" borderId="83" xfId="0" applyFont="1" applyFill="1" applyBorder="1" applyAlignment="1">
      <alignment horizontal="center" vertical="center" wrapText="1"/>
    </xf>
    <xf numFmtId="0" fontId="29" fillId="54" borderId="17" xfId="0" applyFont="1" applyFill="1" applyBorder="1" applyAlignment="1">
      <alignment horizontal="center" vertical="center" wrapText="1"/>
    </xf>
    <xf numFmtId="0" fontId="29" fillId="57" borderId="25" xfId="0" applyFont="1" applyFill="1" applyBorder="1" applyAlignment="1">
      <alignment horizontal="center" vertical="center" wrapText="1"/>
    </xf>
    <xf numFmtId="0" fontId="29" fillId="57" borderId="62" xfId="0" applyFont="1" applyFill="1" applyBorder="1" applyAlignment="1">
      <alignment horizontal="center" vertical="center" wrapText="1"/>
    </xf>
    <xf numFmtId="0" fontId="29" fillId="57" borderId="84" xfId="0" applyFont="1" applyFill="1" applyBorder="1" applyAlignment="1">
      <alignment horizontal="center" vertical="center" wrapText="1"/>
    </xf>
    <xf numFmtId="0" fontId="29" fillId="57" borderId="17" xfId="0" applyFont="1" applyFill="1" applyBorder="1" applyAlignment="1">
      <alignment horizontal="center" vertical="center" wrapText="1"/>
    </xf>
    <xf numFmtId="0" fontId="48" fillId="58" borderId="25" xfId="0" applyFont="1" applyFill="1" applyBorder="1" applyAlignment="1">
      <alignment horizontal="center" vertical="center" wrapText="1"/>
    </xf>
    <xf numFmtId="0" fontId="29" fillId="59" borderId="25" xfId="0" applyFont="1" applyFill="1" applyBorder="1" applyAlignment="1">
      <alignment horizontal="center" vertical="center" wrapText="1"/>
    </xf>
    <xf numFmtId="0" fontId="48" fillId="58" borderId="62" xfId="0" applyFont="1" applyFill="1" applyBorder="1" applyAlignment="1">
      <alignment horizontal="center" vertical="center" wrapText="1"/>
    </xf>
    <xf numFmtId="0" fontId="29" fillId="60" borderId="17" xfId="0" applyFont="1" applyFill="1" applyBorder="1" applyAlignment="1">
      <alignment horizontal="center" vertical="center" wrapText="1"/>
    </xf>
    <xf numFmtId="0" fontId="48" fillId="58" borderId="26" xfId="0" applyFont="1" applyFill="1" applyBorder="1" applyAlignment="1">
      <alignment horizontal="center" vertical="center" wrapText="1"/>
    </xf>
    <xf numFmtId="0" fontId="48" fillId="58" borderId="8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85" xfId="0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 wrapText="1"/>
    </xf>
    <xf numFmtId="0" fontId="29" fillId="0" borderId="82" xfId="0" applyFont="1" applyFill="1" applyBorder="1" applyAlignment="1">
      <alignment horizontal="center" vertical="center" wrapText="1"/>
    </xf>
    <xf numFmtId="0" fontId="18" fillId="61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71" xfId="0" applyFont="1" applyFill="1" applyBorder="1" applyAlignment="1">
      <alignment horizontal="center" vertical="center"/>
    </xf>
    <xf numFmtId="1" fontId="25" fillId="35" borderId="20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1" fontId="37" fillId="62" borderId="32" xfId="0" applyNumberFormat="1" applyFont="1" applyFill="1" applyBorder="1" applyAlignment="1">
      <alignment horizontal="center" vertical="center" wrapText="1"/>
    </xf>
    <xf numFmtId="1" fontId="37" fillId="62" borderId="17" xfId="0" applyNumberFormat="1" applyFont="1" applyFill="1" applyBorder="1" applyAlignment="1">
      <alignment horizontal="center" vertical="center" wrapText="1"/>
    </xf>
    <xf numFmtId="1" fontId="37" fillId="62" borderId="71" xfId="0" applyNumberFormat="1" applyFont="1" applyFill="1" applyBorder="1" applyAlignment="1">
      <alignment horizontal="center" vertical="center" wrapText="1"/>
    </xf>
    <xf numFmtId="0" fontId="18" fillId="63" borderId="21" xfId="0" applyFont="1" applyFill="1" applyBorder="1" applyAlignment="1">
      <alignment horizontal="center" vertical="center"/>
    </xf>
    <xf numFmtId="0" fontId="0" fillId="63" borderId="15" xfId="0" applyFill="1" applyBorder="1" applyAlignment="1">
      <alignment horizontal="center" vertical="center"/>
    </xf>
    <xf numFmtId="0" fontId="38" fillId="34" borderId="12" xfId="0" applyFont="1" applyFill="1" applyBorder="1" applyAlignment="1" applyProtection="1">
      <alignment horizontal="center" vertical="center"/>
      <protection/>
    </xf>
    <xf numFmtId="0" fontId="38" fillId="34" borderId="11" xfId="0" applyFont="1" applyFill="1" applyBorder="1" applyAlignment="1" applyProtection="1">
      <alignment horizontal="center" vertical="center"/>
      <protection/>
    </xf>
    <xf numFmtId="0" fontId="38" fillId="34" borderId="73" xfId="0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34" borderId="74" xfId="0" applyFont="1" applyFill="1" applyBorder="1" applyAlignment="1" applyProtection="1">
      <alignment horizontal="center" vertical="center"/>
      <protection/>
    </xf>
    <xf numFmtId="0" fontId="38" fillId="34" borderId="16" xfId="0" applyFont="1" applyFill="1" applyBorder="1" applyAlignment="1" applyProtection="1">
      <alignment horizontal="center" vertical="center"/>
      <protection/>
    </xf>
    <xf numFmtId="0" fontId="38" fillId="34" borderId="88" xfId="0" applyFont="1" applyFill="1" applyBorder="1" applyAlignment="1" applyProtection="1">
      <alignment horizontal="center" vertical="center"/>
      <protection/>
    </xf>
    <xf numFmtId="0" fontId="41" fillId="34" borderId="19" xfId="0" applyFont="1" applyFill="1" applyBorder="1" applyAlignment="1" applyProtection="1">
      <alignment horizontal="center" vertical="center"/>
      <protection/>
    </xf>
    <xf numFmtId="0" fontId="41" fillId="34" borderId="16" xfId="0" applyFont="1" applyFill="1" applyBorder="1" applyAlignment="1" applyProtection="1">
      <alignment horizontal="center" vertical="center"/>
      <protection/>
    </xf>
    <xf numFmtId="0" fontId="41" fillId="34" borderId="13" xfId="0" applyFont="1" applyFill="1" applyBorder="1" applyAlignment="1" applyProtection="1">
      <alignment horizontal="center" vertical="center"/>
      <protection/>
    </xf>
    <xf numFmtId="0" fontId="18" fillId="64" borderId="20" xfId="0" applyFont="1" applyFill="1" applyBorder="1" applyAlignment="1">
      <alignment horizontal="center" vertical="center"/>
    </xf>
    <xf numFmtId="0" fontId="0" fillId="64" borderId="14" xfId="0" applyFill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4" fillId="37" borderId="79" xfId="0" applyFont="1" applyFill="1" applyBorder="1" applyAlignment="1" applyProtection="1">
      <alignment horizontal="center" wrapText="1"/>
      <protection/>
    </xf>
    <xf numFmtId="0" fontId="14" fillId="37" borderId="52" xfId="0" applyFont="1" applyFill="1" applyBorder="1" applyAlignment="1" applyProtection="1">
      <alignment horizontal="center" wrapText="1"/>
      <protection/>
    </xf>
    <xf numFmtId="0" fontId="0" fillId="37" borderId="52" xfId="0" applyFill="1" applyBorder="1" applyAlignment="1" applyProtection="1">
      <alignment horizontal="center"/>
      <protection/>
    </xf>
    <xf numFmtId="0" fontId="0" fillId="37" borderId="48" xfId="0" applyFill="1" applyBorder="1" applyAlignment="1" applyProtection="1">
      <alignment horizontal="center"/>
      <protection/>
    </xf>
    <xf numFmtId="0" fontId="21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7" xfId="0" applyFont="1" applyBorder="1" applyAlignment="1">
      <alignment/>
    </xf>
    <xf numFmtId="0" fontId="35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51" fillId="0" borderId="36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37" xfId="0" applyFont="1" applyBorder="1" applyAlignment="1">
      <alignment/>
    </xf>
    <xf numFmtId="0" fontId="0" fillId="0" borderId="0" xfId="0" applyFont="1" applyAlignment="1">
      <alignment/>
    </xf>
    <xf numFmtId="0" fontId="60" fillId="0" borderId="36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/>
    </xf>
    <xf numFmtId="0" fontId="18" fillId="37" borderId="1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40" fillId="0" borderId="3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/>
    </xf>
    <xf numFmtId="0" fontId="18" fillId="65" borderId="20" xfId="0" applyFont="1" applyFill="1" applyBorder="1" applyAlignment="1">
      <alignment horizontal="center" vertical="center"/>
    </xf>
    <xf numFmtId="0" fontId="0" fillId="65" borderId="14" xfId="0" applyFill="1" applyBorder="1" applyAlignment="1">
      <alignment horizontal="center" vertical="center"/>
    </xf>
    <xf numFmtId="1" fontId="41" fillId="62" borderId="20" xfId="0" applyNumberFormat="1" applyFont="1" applyFill="1" applyBorder="1" applyAlignment="1">
      <alignment horizontal="center" vertical="center"/>
    </xf>
    <xf numFmtId="1" fontId="41" fillId="62" borderId="17" xfId="0" applyNumberFormat="1" applyFont="1" applyFill="1" applyBorder="1" applyAlignment="1">
      <alignment horizontal="center" vertical="center"/>
    </xf>
    <xf numFmtId="1" fontId="41" fillId="62" borderId="14" xfId="0" applyNumberFormat="1" applyFont="1" applyFill="1" applyBorder="1" applyAlignment="1">
      <alignment horizontal="center" vertical="center"/>
    </xf>
    <xf numFmtId="0" fontId="62" fillId="33" borderId="22" xfId="0" applyFont="1" applyFill="1" applyBorder="1" applyAlignment="1" applyProtection="1">
      <alignment horizontal="center" wrapText="1"/>
      <protection/>
    </xf>
    <xf numFmtId="0" fontId="62" fillId="33" borderId="23" xfId="0" applyFont="1" applyFill="1" applyBorder="1" applyAlignment="1" applyProtection="1">
      <alignment horizontal="center" wrapText="1"/>
      <protection/>
    </xf>
    <xf numFmtId="0" fontId="63" fillId="0" borderId="23" xfId="0" applyFont="1" applyBorder="1" applyAlignment="1" applyProtection="1">
      <alignment horizontal="center" wrapText="1"/>
      <protection/>
    </xf>
    <xf numFmtId="0" fontId="63" fillId="0" borderId="24" xfId="0" applyFont="1" applyBorder="1" applyAlignment="1" applyProtection="1">
      <alignment horizontal="center" wrapText="1"/>
      <protection/>
    </xf>
    <xf numFmtId="0" fontId="8" fillId="0" borderId="36" xfId="45" applyBorder="1" applyAlignment="1" applyProtection="1">
      <alignment horizontal="center" wrapText="1"/>
      <protection/>
    </xf>
    <xf numFmtId="0" fontId="8" fillId="0" borderId="0" xfId="45" applyBorder="1" applyAlignment="1" applyProtection="1">
      <alignment horizontal="center" wrapText="1"/>
      <protection/>
    </xf>
    <xf numFmtId="0" fontId="8" fillId="0" borderId="0" xfId="45" applyBorder="1" applyAlignment="1" applyProtection="1">
      <alignment horizontal="center"/>
      <protection/>
    </xf>
    <xf numFmtId="0" fontId="8" fillId="0" borderId="37" xfId="45" applyBorder="1" applyAlignment="1" applyProtection="1">
      <alignment horizontal="center"/>
      <protection/>
    </xf>
    <xf numFmtId="0" fontId="41" fillId="34" borderId="21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12" fillId="33" borderId="79" xfId="0" applyFont="1" applyFill="1" applyBorder="1" applyAlignment="1" applyProtection="1">
      <alignment horizontal="center" wrapText="1"/>
      <protection/>
    </xf>
    <xf numFmtId="0" fontId="12" fillId="33" borderId="52" xfId="0" applyFont="1" applyFill="1" applyBorder="1" applyAlignment="1" applyProtection="1">
      <alignment horizontal="center" wrapText="1"/>
      <protection/>
    </xf>
    <xf numFmtId="0" fontId="0" fillId="0" borderId="52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 wrapText="1"/>
      <protection/>
    </xf>
    <xf numFmtId="0" fontId="38" fillId="34" borderId="33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76" xfId="0" applyFont="1" applyFill="1" applyBorder="1" applyAlignment="1">
      <alignment horizontal="center" vertical="center"/>
    </xf>
    <xf numFmtId="0" fontId="45" fillId="44" borderId="22" xfId="0" applyFont="1" applyFill="1" applyBorder="1" applyAlignment="1" applyProtection="1">
      <alignment horizontal="center" wrapText="1"/>
      <protection/>
    </xf>
    <xf numFmtId="0" fontId="46" fillId="0" borderId="23" xfId="0" applyFont="1" applyBorder="1" applyAlignment="1" applyProtection="1">
      <alignment horizontal="center" wrapText="1"/>
      <protection/>
    </xf>
    <xf numFmtId="0" fontId="46" fillId="0" borderId="24" xfId="0" applyFont="1" applyBorder="1" applyAlignment="1" applyProtection="1">
      <alignment horizontal="center" wrapText="1"/>
      <protection/>
    </xf>
    <xf numFmtId="0" fontId="21" fillId="0" borderId="79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48" xfId="0" applyFont="1" applyBorder="1" applyAlignment="1">
      <alignment/>
    </xf>
    <xf numFmtId="0" fontId="62" fillId="0" borderId="22" xfId="0" applyFont="1" applyFill="1" applyBorder="1" applyAlignment="1" applyProtection="1">
      <alignment horizontal="center" wrapText="1"/>
      <protection/>
    </xf>
    <xf numFmtId="0" fontId="62" fillId="0" borderId="23" xfId="0" applyFont="1" applyFill="1" applyBorder="1" applyAlignment="1" applyProtection="1">
      <alignment horizontal="center" wrapText="1"/>
      <protection/>
    </xf>
    <xf numFmtId="0" fontId="63" fillId="0" borderId="23" xfId="0" applyFont="1" applyFill="1" applyBorder="1" applyAlignment="1" applyProtection="1">
      <alignment horizontal="center" wrapText="1"/>
      <protection/>
    </xf>
    <xf numFmtId="0" fontId="63" fillId="0" borderId="24" xfId="0" applyFont="1" applyFill="1" applyBorder="1" applyAlignment="1" applyProtection="1">
      <alignment horizontal="center" wrapText="1"/>
      <protection/>
    </xf>
    <xf numFmtId="0" fontId="47" fillId="0" borderId="0" xfId="0" applyFont="1" applyBorder="1" applyAlignment="1">
      <alignment/>
    </xf>
    <xf numFmtId="0" fontId="47" fillId="0" borderId="37" xfId="0" applyFont="1" applyBorder="1" applyAlignment="1">
      <alignment/>
    </xf>
    <xf numFmtId="0" fontId="19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9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64" fillId="33" borderId="38" xfId="0" applyFont="1" applyFill="1" applyBorder="1" applyAlignment="1" applyProtection="1">
      <alignment horizontal="center"/>
      <protection/>
    </xf>
    <xf numFmtId="0" fontId="65" fillId="0" borderId="39" xfId="0" applyFont="1" applyBorder="1" applyAlignment="1" applyProtection="1">
      <alignment horizontal="center"/>
      <protection/>
    </xf>
    <xf numFmtId="0" fontId="65" fillId="0" borderId="40" xfId="0" applyFont="1" applyBorder="1" applyAlignment="1" applyProtection="1">
      <alignment horizontal="center"/>
      <protection/>
    </xf>
    <xf numFmtId="0" fontId="16" fillId="40" borderId="50" xfId="0" applyFont="1" applyFill="1" applyBorder="1" applyAlignment="1">
      <alignment horizontal="right" wrapText="1"/>
    </xf>
    <xf numFmtId="0" fontId="16" fillId="40" borderId="33" xfId="0" applyFont="1" applyFill="1" applyBorder="1" applyAlignment="1">
      <alignment horizontal="right" wrapText="1"/>
    </xf>
    <xf numFmtId="0" fontId="16" fillId="40" borderId="42" xfId="0" applyFont="1" applyFill="1" applyBorder="1" applyAlignment="1">
      <alignment horizontal="right" wrapText="1"/>
    </xf>
    <xf numFmtId="0" fontId="16" fillId="40" borderId="31" xfId="0" applyFont="1" applyFill="1" applyBorder="1" applyAlignment="1">
      <alignment horizontal="right" wrapText="1"/>
    </xf>
    <xf numFmtId="0" fontId="53" fillId="37" borderId="22" xfId="0" applyFont="1" applyFill="1" applyBorder="1" applyAlignment="1" applyProtection="1">
      <alignment horizontal="center" wrapText="1"/>
      <protection/>
    </xf>
    <xf numFmtId="0" fontId="53" fillId="37" borderId="23" xfId="0" applyFont="1" applyFill="1" applyBorder="1" applyAlignment="1" applyProtection="1">
      <alignment horizontal="center" wrapText="1"/>
      <protection/>
    </xf>
    <xf numFmtId="0" fontId="54" fillId="37" borderId="23" xfId="0" applyFont="1" applyFill="1" applyBorder="1" applyAlignment="1" applyProtection="1">
      <alignment horizontal="center" wrapText="1"/>
      <protection/>
    </xf>
    <xf numFmtId="0" fontId="54" fillId="37" borderId="24" xfId="0" applyFont="1" applyFill="1" applyBorder="1" applyAlignment="1" applyProtection="1">
      <alignment horizontal="center" wrapText="1"/>
      <protection/>
    </xf>
    <xf numFmtId="0" fontId="58" fillId="44" borderId="22" xfId="0" applyFont="1" applyFill="1" applyBorder="1" applyAlignment="1" applyProtection="1">
      <alignment horizontal="center" wrapText="1"/>
      <protection/>
    </xf>
    <xf numFmtId="0" fontId="58" fillId="44" borderId="24" xfId="0" applyFont="1" applyFill="1" applyBorder="1" applyAlignment="1" applyProtection="1">
      <alignment horizontal="center" wrapText="1"/>
      <protection/>
    </xf>
    <xf numFmtId="0" fontId="55" fillId="44" borderId="22" xfId="0" applyFont="1" applyFill="1" applyBorder="1" applyAlignment="1" applyProtection="1">
      <alignment horizontal="center" wrapText="1"/>
      <protection/>
    </xf>
    <xf numFmtId="0" fontId="55" fillId="44" borderId="24" xfId="0" applyFont="1" applyFill="1" applyBorder="1" applyAlignment="1" applyProtection="1">
      <alignment horizontal="center" wrapText="1"/>
      <protection/>
    </xf>
    <xf numFmtId="0" fontId="2" fillId="66" borderId="79" xfId="0" applyFont="1" applyFill="1" applyBorder="1" applyAlignment="1" applyProtection="1">
      <alignment horizontal="fill"/>
      <protection/>
    </xf>
    <xf numFmtId="0" fontId="0" fillId="40" borderId="36" xfId="0" applyFont="1" applyFill="1" applyBorder="1" applyAlignment="1" applyProtection="1">
      <alignment/>
      <protection/>
    </xf>
    <xf numFmtId="0" fontId="0" fillId="40" borderId="38" xfId="0" applyFont="1" applyFill="1" applyBorder="1" applyAlignment="1" applyProtection="1">
      <alignment/>
      <protection/>
    </xf>
    <xf numFmtId="0" fontId="57" fillId="50" borderId="22" xfId="0" applyFont="1" applyFill="1" applyBorder="1" applyAlignment="1" applyProtection="1">
      <alignment horizontal="center" wrapText="1"/>
      <protection/>
    </xf>
    <xf numFmtId="0" fontId="15" fillId="50" borderId="24" xfId="0" applyFont="1" applyFill="1" applyBorder="1" applyAlignment="1">
      <alignment horizontal="center" wrapText="1"/>
    </xf>
    <xf numFmtId="0" fontId="31" fillId="35" borderId="23" xfId="0" applyFont="1" applyFill="1" applyBorder="1" applyAlignment="1">
      <alignment horizontal="center" vertical="center" wrapText="1"/>
    </xf>
    <xf numFmtId="0" fontId="31" fillId="35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9" fontId="4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66" fillId="67" borderId="89" xfId="0" applyFont="1" applyFill="1" applyBorder="1" applyAlignment="1">
      <alignment horizontal="center"/>
    </xf>
    <xf numFmtId="0" fontId="66" fillId="67" borderId="90" xfId="0" applyFont="1" applyFill="1" applyBorder="1" applyAlignment="1">
      <alignment horizontal="center"/>
    </xf>
    <xf numFmtId="0" fontId="66" fillId="67" borderId="91" xfId="0" applyFont="1" applyFill="1" applyBorder="1" applyAlignment="1">
      <alignment horizontal="center"/>
    </xf>
    <xf numFmtId="0" fontId="69" fillId="67" borderId="92" xfId="0" applyFont="1" applyFill="1" applyBorder="1" applyAlignment="1">
      <alignment horizontal="center"/>
    </xf>
    <xf numFmtId="0" fontId="69" fillId="67" borderId="93" xfId="0" applyFont="1" applyFill="1" applyBorder="1" applyAlignment="1">
      <alignment horizontal="center"/>
    </xf>
    <xf numFmtId="0" fontId="69" fillId="67" borderId="94" xfId="0" applyFont="1" applyFill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76" fillId="39" borderId="22" xfId="0" applyFont="1" applyFill="1" applyBorder="1" applyAlignment="1">
      <alignment horizontal="center"/>
    </xf>
    <xf numFmtId="0" fontId="46" fillId="68" borderId="23" xfId="0" applyFont="1" applyFill="1" applyBorder="1" applyAlignment="1">
      <alignment horizont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D2FBE"/>
      <rgbColor rgb="003DEB3D"/>
      <rgbColor rgb="0069FFFF"/>
      <rgbColor rgb="006A2813"/>
      <rgbColor rgb="00C0C0C0"/>
      <rgbColor rgb="00C0C0FF"/>
      <rgbColor rgb="00C6C6C6"/>
      <rgbColor rgb="00CC9CCC"/>
      <rgbColor rgb="00CCFFCC"/>
      <rgbColor rgb="00DFDFDF"/>
      <rgbColor rgb="00E3E3E3"/>
      <rgbColor rgb="00FF0000"/>
      <rgbColor rgb="00FFCC99"/>
      <rgbColor rgb="00FFFF00"/>
      <rgbColor rgb="00FFFF80"/>
      <rgbColor rgb="00FFFF99"/>
      <rgbColor rgb="00FFFFFF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466725</xdr:colOff>
      <xdr:row>3</xdr:row>
      <xdr:rowOff>104775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714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4038600</xdr:colOff>
      <xdr:row>5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000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8</xdr:col>
      <xdr:colOff>381000</xdr:colOff>
      <xdr:row>2</xdr:row>
      <xdr:rowOff>352425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76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85725</xdr:rowOff>
    </xdr:from>
    <xdr:to>
      <xdr:col>8</xdr:col>
      <xdr:colOff>371475</xdr:colOff>
      <xdr:row>17</xdr:row>
      <xdr:rowOff>381000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38925"/>
          <a:ext cx="527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85725</xdr:rowOff>
    </xdr:from>
    <xdr:to>
      <xdr:col>8</xdr:col>
      <xdr:colOff>381000</xdr:colOff>
      <xdr:row>32</xdr:row>
      <xdr:rowOff>381000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192125"/>
          <a:ext cx="527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9</xdr:col>
      <xdr:colOff>200025</xdr:colOff>
      <xdr:row>2</xdr:row>
      <xdr:rowOff>381000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305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66675</xdr:rowOff>
    </xdr:from>
    <xdr:to>
      <xdr:col>9</xdr:col>
      <xdr:colOff>180975</xdr:colOff>
      <xdr:row>17</xdr:row>
      <xdr:rowOff>371475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38925"/>
          <a:ext cx="5305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30</xdr:row>
      <xdr:rowOff>76200</xdr:rowOff>
    </xdr:from>
    <xdr:to>
      <xdr:col>9</xdr:col>
      <xdr:colOff>180975</xdr:colOff>
      <xdr:row>32</xdr:row>
      <xdr:rowOff>381000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192125"/>
          <a:ext cx="5305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9</xdr:col>
      <xdr:colOff>247650</xdr:colOff>
      <xdr:row>2</xdr:row>
      <xdr:rowOff>371475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5305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66675</xdr:rowOff>
    </xdr:from>
    <xdr:to>
      <xdr:col>9</xdr:col>
      <xdr:colOff>257175</xdr:colOff>
      <xdr:row>17</xdr:row>
      <xdr:rowOff>371475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00825"/>
          <a:ext cx="5295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76200</xdr:rowOff>
    </xdr:from>
    <xdr:to>
      <xdr:col>9</xdr:col>
      <xdr:colOff>247650</xdr:colOff>
      <xdr:row>32</xdr:row>
      <xdr:rowOff>381000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15925"/>
          <a:ext cx="5305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5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86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B\AppData\Local\Microsoft\Windows\Temporary%20Internet%20Files\Content.Outlook\EW7M2XZ8\1%20ASBL%20Sport&amp;Sant&#233;\ZATOPEK\ZATOPEK\ARTICLES%20ZATOPEK\Zat%2020%20Km\DOCUME~1\Roger\LOCALS~1\Temp\2preparation%20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MARATHON6"/>
      <sheetName val="MARATHON5"/>
      <sheetName val="MARATHON4"/>
      <sheetName val="VMA"/>
      <sheetName val="const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6"/>
  <sheetViews>
    <sheetView tabSelected="1" workbookViewId="0" topLeftCell="A1">
      <selection activeCell="M39" sqref="M39"/>
    </sheetView>
  </sheetViews>
  <sheetFormatPr defaultColWidth="11.421875" defaultRowHeight="12.75"/>
  <cols>
    <col min="11" max="11" width="16.140625" style="0" bestFit="1" customWidth="1"/>
    <col min="12" max="12" width="13.8515625" style="0" bestFit="1" customWidth="1"/>
  </cols>
  <sheetData>
    <row r="1" spans="1:10" ht="12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8.75" thickBot="1">
      <c r="A5" s="312" t="s">
        <v>142</v>
      </c>
      <c r="B5" s="313"/>
      <c r="C5" s="313"/>
      <c r="D5" s="313"/>
      <c r="E5" s="313"/>
      <c r="F5" s="313"/>
      <c r="G5" s="313"/>
      <c r="H5" s="313"/>
      <c r="I5" s="313"/>
      <c r="J5" s="314"/>
    </row>
    <row r="6" spans="1:10" ht="12.75" thickBot="1">
      <c r="A6" s="324"/>
      <c r="B6" s="325"/>
      <c r="C6" s="325"/>
      <c r="D6" s="325"/>
      <c r="E6" s="325"/>
      <c r="F6" s="325"/>
      <c r="G6" s="325"/>
      <c r="H6" s="325"/>
      <c r="I6" s="325"/>
      <c r="J6" s="326"/>
    </row>
    <row r="7" spans="1:10" ht="15.75" thickBot="1">
      <c r="A7" s="318" t="s">
        <v>182</v>
      </c>
      <c r="B7" s="319"/>
      <c r="C7" s="319"/>
      <c r="D7" s="320"/>
      <c r="E7" s="320"/>
      <c r="F7" s="320"/>
      <c r="G7" s="320"/>
      <c r="H7" s="320"/>
      <c r="I7" s="320"/>
      <c r="J7" s="321"/>
    </row>
    <row r="8" spans="1:10" ht="8.25" customHeight="1" hidden="1" thickBot="1">
      <c r="A8" s="260" t="s">
        <v>2</v>
      </c>
      <c r="B8" s="261"/>
      <c r="C8" s="261"/>
      <c r="D8" s="261"/>
      <c r="E8" s="262"/>
      <c r="F8" s="262"/>
      <c r="G8" s="262"/>
      <c r="H8" s="262"/>
      <c r="I8" s="262"/>
      <c r="J8" s="263"/>
    </row>
    <row r="9" spans="1:10" ht="18" customHeight="1">
      <c r="A9" s="315" t="s">
        <v>97</v>
      </c>
      <c r="B9" s="316"/>
      <c r="C9" s="316"/>
      <c r="D9" s="316"/>
      <c r="E9" s="316"/>
      <c r="F9" s="316"/>
      <c r="G9" s="316"/>
      <c r="H9" s="316"/>
      <c r="I9" s="316"/>
      <c r="J9" s="317"/>
    </row>
    <row r="10" spans="1:10" ht="12.75" customHeight="1">
      <c r="A10" s="264" t="s">
        <v>98</v>
      </c>
      <c r="B10" s="265"/>
      <c r="C10" s="265"/>
      <c r="D10" s="265"/>
      <c r="E10" s="265"/>
      <c r="F10" s="265"/>
      <c r="G10" s="265"/>
      <c r="H10" s="265"/>
      <c r="I10" s="265"/>
      <c r="J10" s="266"/>
    </row>
    <row r="11" spans="1:10" ht="12.75" customHeight="1">
      <c r="A11" s="264" t="s">
        <v>122</v>
      </c>
      <c r="B11" s="265"/>
      <c r="C11" s="265"/>
      <c r="D11" s="265"/>
      <c r="E11" s="265"/>
      <c r="F11" s="265"/>
      <c r="G11" s="265"/>
      <c r="H11" s="265"/>
      <c r="I11" s="265"/>
      <c r="J11" s="266"/>
    </row>
    <row r="12" spans="1:10" ht="12.75" customHeight="1">
      <c r="A12" s="62" t="s">
        <v>149</v>
      </c>
      <c r="B12" s="63"/>
      <c r="C12" s="63"/>
      <c r="D12" s="63"/>
      <c r="E12" s="63"/>
      <c r="F12" s="63"/>
      <c r="G12" s="63"/>
      <c r="H12" s="63"/>
      <c r="I12" s="63"/>
      <c r="J12" s="64"/>
    </row>
    <row r="13" spans="1:10" ht="12">
      <c r="A13" s="62" t="s">
        <v>148</v>
      </c>
      <c r="B13" s="67"/>
      <c r="C13" s="67"/>
      <c r="D13" s="67"/>
      <c r="E13" s="67"/>
      <c r="F13" s="67"/>
      <c r="G13" s="67"/>
      <c r="H13" s="67"/>
      <c r="I13" s="67"/>
      <c r="J13" s="68"/>
    </row>
    <row r="14" spans="1:10" ht="15" customHeight="1">
      <c r="A14" s="267" t="s">
        <v>147</v>
      </c>
      <c r="B14" s="265"/>
      <c r="C14" s="265"/>
      <c r="D14" s="265"/>
      <c r="E14" s="265"/>
      <c r="F14" s="265"/>
      <c r="G14" s="265"/>
      <c r="H14" s="265"/>
      <c r="I14" s="265"/>
      <c r="J14" s="266"/>
    </row>
    <row r="15" spans="1:10" ht="15" customHeight="1">
      <c r="A15" s="267" t="s">
        <v>123</v>
      </c>
      <c r="B15" s="322"/>
      <c r="C15" s="322"/>
      <c r="D15" s="322"/>
      <c r="E15" s="322"/>
      <c r="F15" s="322"/>
      <c r="G15" s="322"/>
      <c r="H15" s="322"/>
      <c r="I15" s="322"/>
      <c r="J15" s="323"/>
    </row>
    <row r="16" spans="1:10" ht="12">
      <c r="A16" s="62" t="s">
        <v>124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2">
      <c r="A17" s="264" t="s">
        <v>146</v>
      </c>
      <c r="B17" s="265"/>
      <c r="C17" s="265"/>
      <c r="D17" s="265"/>
      <c r="E17" s="265"/>
      <c r="F17" s="265"/>
      <c r="G17" s="265"/>
      <c r="H17" s="265"/>
      <c r="I17" s="265"/>
      <c r="J17" s="266"/>
    </row>
    <row r="18" spans="1:10" ht="12">
      <c r="A18" s="267" t="s">
        <v>143</v>
      </c>
      <c r="B18" s="265"/>
      <c r="C18" s="265"/>
      <c r="D18" s="265"/>
      <c r="E18" s="265"/>
      <c r="F18" s="265"/>
      <c r="G18" s="265"/>
      <c r="H18" s="265"/>
      <c r="I18" s="265"/>
      <c r="J18" s="266"/>
    </row>
    <row r="19" spans="1:10" ht="12">
      <c r="A19" s="267" t="s">
        <v>144</v>
      </c>
      <c r="B19" s="265"/>
      <c r="C19" s="265"/>
      <c r="D19" s="265"/>
      <c r="E19" s="265"/>
      <c r="F19" s="265"/>
      <c r="G19" s="265"/>
      <c r="H19" s="265"/>
      <c r="I19" s="265"/>
      <c r="J19" s="266"/>
    </row>
    <row r="20" spans="1:10" ht="12">
      <c r="A20" s="62" t="s">
        <v>125</v>
      </c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2">
      <c r="A21" s="264" t="s">
        <v>126</v>
      </c>
      <c r="B21" s="265"/>
      <c r="C21" s="265"/>
      <c r="D21" s="265"/>
      <c r="E21" s="265"/>
      <c r="F21" s="265"/>
      <c r="G21" s="265"/>
      <c r="H21" s="265"/>
      <c r="I21" s="265"/>
      <c r="J21" s="266"/>
    </row>
    <row r="22" spans="1:10" ht="12">
      <c r="A22" s="264" t="s">
        <v>145</v>
      </c>
      <c r="B22" s="265"/>
      <c r="C22" s="265"/>
      <c r="D22" s="265"/>
      <c r="E22" s="265"/>
      <c r="F22" s="265"/>
      <c r="G22" s="265"/>
      <c r="H22" s="265"/>
      <c r="I22" s="265"/>
      <c r="J22" s="266"/>
    </row>
    <row r="23" spans="1:10" ht="12">
      <c r="A23" s="66" t="s">
        <v>111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12">
      <c r="A24" s="264" t="s">
        <v>99</v>
      </c>
      <c r="B24" s="265"/>
      <c r="C24" s="265"/>
      <c r="D24" s="265"/>
      <c r="E24" s="265"/>
      <c r="F24" s="265"/>
      <c r="G24" s="265"/>
      <c r="H24" s="265"/>
      <c r="I24" s="265"/>
      <c r="J24" s="266"/>
    </row>
    <row r="25" spans="1:10" ht="12">
      <c r="A25" s="267" t="s">
        <v>127</v>
      </c>
      <c r="B25" s="265"/>
      <c r="C25" s="265"/>
      <c r="D25" s="265"/>
      <c r="E25" s="265"/>
      <c r="F25" s="265"/>
      <c r="G25" s="265"/>
      <c r="H25" s="265"/>
      <c r="I25" s="265"/>
      <c r="J25" s="266"/>
    </row>
    <row r="26" spans="1:10" s="16" customFormat="1" ht="12">
      <c r="A26" s="264" t="s">
        <v>100</v>
      </c>
      <c r="B26" s="265"/>
      <c r="C26" s="265"/>
      <c r="D26" s="265"/>
      <c r="E26" s="265"/>
      <c r="F26" s="265"/>
      <c r="G26" s="265"/>
      <c r="H26" s="265"/>
      <c r="I26" s="265"/>
      <c r="J26" s="266"/>
    </row>
    <row r="27" spans="1:10" s="16" customFormat="1" ht="12">
      <c r="A27" s="69" t="s">
        <v>151</v>
      </c>
      <c r="J27" s="70"/>
    </row>
    <row r="28" spans="1:10" s="16" customFormat="1" ht="12.75" thickBot="1">
      <c r="A28" s="71" t="s">
        <v>150</v>
      </c>
      <c r="B28" s="72"/>
      <c r="C28" s="72"/>
      <c r="D28" s="72"/>
      <c r="E28" s="72"/>
      <c r="F28" s="72"/>
      <c r="G28" s="72"/>
      <c r="H28" s="72"/>
      <c r="I28" s="72"/>
      <c r="J28" s="73"/>
    </row>
    <row r="29" spans="1:10" s="16" customFormat="1" ht="15.75" thickBot="1">
      <c r="A29" s="330" t="s">
        <v>3</v>
      </c>
      <c r="B29" s="331"/>
      <c r="C29" s="331"/>
      <c r="D29" s="331"/>
      <c r="E29" s="331"/>
      <c r="F29" s="331"/>
      <c r="G29" s="331"/>
      <c r="H29" s="331"/>
      <c r="I29" s="331"/>
      <c r="J29" s="332"/>
    </row>
    <row r="30" spans="1:10" s="16" customFormat="1" ht="12">
      <c r="A30" s="298" t="s">
        <v>102</v>
      </c>
      <c r="B30" s="299"/>
      <c r="C30" s="299"/>
      <c r="D30" s="299"/>
      <c r="E30" s="300"/>
      <c r="F30" s="300"/>
      <c r="G30" s="300"/>
      <c r="H30" s="300"/>
      <c r="I30" s="300"/>
      <c r="J30" s="301"/>
    </row>
    <row r="31" spans="1:10" s="16" customFormat="1" ht="12">
      <c r="A31" s="298" t="s">
        <v>101</v>
      </c>
      <c r="B31" s="299"/>
      <c r="C31" s="299"/>
      <c r="D31" s="299"/>
      <c r="E31" s="300"/>
      <c r="F31" s="300"/>
      <c r="G31" s="300"/>
      <c r="H31" s="300"/>
      <c r="I31" s="300"/>
      <c r="J31" s="301"/>
    </row>
    <row r="32" spans="1:10" s="16" customFormat="1" ht="12.75" thickBot="1">
      <c r="A32" s="298" t="s">
        <v>138</v>
      </c>
      <c r="B32" s="299"/>
      <c r="C32" s="299"/>
      <c r="D32" s="299"/>
      <c r="E32" s="300"/>
      <c r="F32" s="300"/>
      <c r="G32" s="300"/>
      <c r="H32" s="300"/>
      <c r="I32" s="300"/>
      <c r="J32" s="301"/>
    </row>
    <row r="33" spans="1:10" s="16" customFormat="1" ht="15.75" thickBot="1">
      <c r="A33" s="294" t="s">
        <v>75</v>
      </c>
      <c r="B33" s="295"/>
      <c r="C33" s="295"/>
      <c r="D33" s="296"/>
      <c r="E33" s="296"/>
      <c r="F33" s="296"/>
      <c r="G33" s="296"/>
      <c r="H33" s="296"/>
      <c r="I33" s="296"/>
      <c r="J33" s="297"/>
    </row>
    <row r="34" spans="1:10" s="16" customFormat="1" ht="13.5" thickBot="1">
      <c r="A34" s="257" t="s">
        <v>112</v>
      </c>
      <c r="B34" s="258"/>
      <c r="C34" s="258"/>
      <c r="D34" s="258"/>
      <c r="E34" s="258"/>
      <c r="F34" s="258"/>
      <c r="G34" s="258"/>
      <c r="H34" s="258"/>
      <c r="I34" s="258"/>
      <c r="J34" s="259"/>
    </row>
    <row r="35" spans="1:10" s="16" customFormat="1" ht="15.75" thickBot="1">
      <c r="A35" s="294" t="s">
        <v>74</v>
      </c>
      <c r="B35" s="295"/>
      <c r="C35" s="295"/>
      <c r="D35" s="296"/>
      <c r="E35" s="296"/>
      <c r="F35" s="296"/>
      <c r="G35" s="296"/>
      <c r="H35" s="296"/>
      <c r="I35" s="296"/>
      <c r="J35" s="297"/>
    </row>
    <row r="36" spans="1:10" s="16" customFormat="1" ht="12">
      <c r="A36" s="275" t="s">
        <v>85</v>
      </c>
      <c r="B36" s="276"/>
      <c r="C36" s="276"/>
      <c r="D36" s="276"/>
      <c r="E36" s="276"/>
      <c r="F36" s="276"/>
      <c r="G36" s="276"/>
      <c r="H36" s="276"/>
      <c r="I36" s="276"/>
      <c r="J36" s="277"/>
    </row>
    <row r="37" spans="1:10" s="16" customFormat="1" ht="12.75" thickBot="1">
      <c r="A37" s="275" t="s">
        <v>180</v>
      </c>
      <c r="B37" s="276"/>
      <c r="C37" s="276"/>
      <c r="D37" s="276"/>
      <c r="E37" s="276"/>
      <c r="F37" s="276"/>
      <c r="G37" s="276"/>
      <c r="H37" s="276"/>
      <c r="I37" s="276"/>
      <c r="J37" s="277"/>
    </row>
    <row r="38" spans="1:10" s="16" customFormat="1" ht="12">
      <c r="A38" s="278" t="s">
        <v>184</v>
      </c>
      <c r="B38" s="279"/>
      <c r="C38" s="279"/>
      <c r="D38" s="279"/>
      <c r="E38" s="279"/>
      <c r="F38" s="279"/>
      <c r="G38" s="279"/>
      <c r="H38" s="279"/>
      <c r="I38" s="279"/>
      <c r="J38" s="280"/>
    </row>
    <row r="39" spans="1:10" s="16" customFormat="1" ht="12">
      <c r="A39" s="268" t="s">
        <v>121</v>
      </c>
      <c r="B39" s="269"/>
      <c r="C39" s="269"/>
      <c r="D39" s="269"/>
      <c r="E39" s="269"/>
      <c r="F39" s="269"/>
      <c r="G39" s="269"/>
      <c r="H39" s="269"/>
      <c r="I39" s="269"/>
      <c r="J39" s="270"/>
    </row>
    <row r="40" spans="1:10" s="16" customFormat="1" ht="12">
      <c r="A40" s="271" t="s">
        <v>181</v>
      </c>
      <c r="B40" s="274"/>
      <c r="C40" s="274"/>
      <c r="D40" s="274"/>
      <c r="E40" s="274"/>
      <c r="F40" s="274"/>
      <c r="G40" s="274"/>
      <c r="H40" s="274"/>
      <c r="I40" s="274"/>
      <c r="J40" s="270"/>
    </row>
    <row r="41" spans="1:10" s="16" customFormat="1" ht="12">
      <c r="A41" s="268" t="s">
        <v>179</v>
      </c>
      <c r="B41" s="274"/>
      <c r="C41" s="274"/>
      <c r="D41" s="274"/>
      <c r="E41" s="274"/>
      <c r="F41" s="274"/>
      <c r="G41" s="274"/>
      <c r="H41" s="274"/>
      <c r="I41" s="274"/>
      <c r="J41" s="270"/>
    </row>
    <row r="42" spans="1:10" s="16" customFormat="1" ht="12">
      <c r="A42" s="286" t="s">
        <v>183</v>
      </c>
      <c r="B42" s="287"/>
      <c r="C42" s="287"/>
      <c r="D42" s="287"/>
      <c r="E42" s="287"/>
      <c r="F42" s="287"/>
      <c r="G42" s="287"/>
      <c r="H42" s="287"/>
      <c r="I42" s="287"/>
      <c r="J42" s="288"/>
    </row>
    <row r="43" spans="1:10" ht="12.75" customHeight="1">
      <c r="A43" s="271" t="s">
        <v>86</v>
      </c>
      <c r="B43" s="272"/>
      <c r="C43" s="272"/>
      <c r="D43" s="272"/>
      <c r="E43" s="272"/>
      <c r="F43" s="272"/>
      <c r="G43" s="272"/>
      <c r="H43" s="272"/>
      <c r="I43" s="272"/>
      <c r="J43" s="273"/>
    </row>
    <row r="44" spans="1:10" ht="12.75" customHeight="1">
      <c r="A44" s="268" t="s">
        <v>87</v>
      </c>
      <c r="B44" s="269"/>
      <c r="C44" s="269"/>
      <c r="D44" s="269"/>
      <c r="E44" s="269"/>
      <c r="F44" s="269"/>
      <c r="G44" s="269"/>
      <c r="H44" s="269"/>
      <c r="I44" s="269"/>
      <c r="J44" s="270"/>
    </row>
    <row r="45" spans="1:10" ht="12.75" customHeight="1">
      <c r="A45" s="112"/>
      <c r="B45" s="110"/>
      <c r="C45" s="110"/>
      <c r="D45" s="110"/>
      <c r="E45" s="110"/>
      <c r="F45" s="110"/>
      <c r="G45" s="110"/>
      <c r="H45" s="110"/>
      <c r="I45" s="110"/>
      <c r="J45" s="111"/>
    </row>
    <row r="46" spans="1:10" ht="12.75" customHeight="1">
      <c r="A46" s="271" t="s">
        <v>88</v>
      </c>
      <c r="B46" s="272"/>
      <c r="C46" s="272"/>
      <c r="D46" s="272"/>
      <c r="E46" s="272"/>
      <c r="F46" s="272"/>
      <c r="G46" s="272"/>
      <c r="H46" s="272"/>
      <c r="I46" s="272"/>
      <c r="J46" s="273"/>
    </row>
    <row r="47" spans="1:13" ht="15.75" customHeight="1">
      <c r="A47" s="268" t="s">
        <v>89</v>
      </c>
      <c r="B47" s="269"/>
      <c r="C47" s="269"/>
      <c r="D47" s="269"/>
      <c r="E47" s="269"/>
      <c r="F47" s="269"/>
      <c r="G47" s="269"/>
      <c r="H47" s="269"/>
      <c r="I47" s="269"/>
      <c r="J47" s="270"/>
      <c r="K47" s="5"/>
      <c r="L47" s="5"/>
      <c r="M47" s="4"/>
    </row>
    <row r="48" spans="1:13" ht="14.25" customHeight="1">
      <c r="A48" s="268" t="s">
        <v>90</v>
      </c>
      <c r="B48" s="269"/>
      <c r="C48" s="269"/>
      <c r="D48" s="269"/>
      <c r="E48" s="269"/>
      <c r="F48" s="269"/>
      <c r="G48" s="269"/>
      <c r="H48" s="269"/>
      <c r="I48" s="269"/>
      <c r="J48" s="270"/>
      <c r="K48" s="5"/>
      <c r="L48" s="5"/>
      <c r="M48" s="4"/>
    </row>
    <row r="49" spans="1:13" ht="13.5" customHeight="1">
      <c r="A49" s="268" t="s">
        <v>91</v>
      </c>
      <c r="B49" s="269"/>
      <c r="C49" s="269"/>
      <c r="D49" s="269"/>
      <c r="E49" s="269"/>
      <c r="F49" s="269"/>
      <c r="G49" s="269"/>
      <c r="H49" s="269"/>
      <c r="I49" s="269"/>
      <c r="J49" s="270"/>
      <c r="K49" s="5"/>
      <c r="L49" s="5"/>
      <c r="M49" s="4"/>
    </row>
    <row r="50" spans="1:10" ht="12.75" customHeight="1">
      <c r="A50" s="268" t="s">
        <v>92</v>
      </c>
      <c r="B50" s="269"/>
      <c r="C50" s="269"/>
      <c r="D50" s="269"/>
      <c r="E50" s="269"/>
      <c r="F50" s="269"/>
      <c r="G50" s="269"/>
      <c r="H50" s="269"/>
      <c r="I50" s="269"/>
      <c r="J50" s="270"/>
    </row>
    <row r="51" spans="1:10" ht="12.75" customHeight="1">
      <c r="A51" s="112"/>
      <c r="B51" s="110"/>
      <c r="C51" s="110"/>
      <c r="D51" s="110"/>
      <c r="E51" s="110"/>
      <c r="F51" s="110"/>
      <c r="G51" s="110"/>
      <c r="H51" s="110"/>
      <c r="I51" s="110"/>
      <c r="J51" s="111"/>
    </row>
    <row r="52" spans="1:10" ht="12.75" customHeight="1">
      <c r="A52" s="271" t="s">
        <v>93</v>
      </c>
      <c r="B52" s="272"/>
      <c r="C52" s="272"/>
      <c r="D52" s="272"/>
      <c r="E52" s="272"/>
      <c r="F52" s="272"/>
      <c r="G52" s="272"/>
      <c r="H52" s="272"/>
      <c r="I52" s="272"/>
      <c r="J52" s="273"/>
    </row>
    <row r="53" spans="1:10" ht="12.75" customHeight="1">
      <c r="A53" s="268" t="s">
        <v>94</v>
      </c>
      <c r="B53" s="269"/>
      <c r="C53" s="269"/>
      <c r="D53" s="269"/>
      <c r="E53" s="269"/>
      <c r="F53" s="269"/>
      <c r="G53" s="269"/>
      <c r="H53" s="269"/>
      <c r="I53" s="269"/>
      <c r="J53" s="270"/>
    </row>
    <row r="54" spans="1:14" ht="15.75">
      <c r="A54" s="268" t="s">
        <v>95</v>
      </c>
      <c r="B54" s="269"/>
      <c r="C54" s="269"/>
      <c r="D54" s="269"/>
      <c r="E54" s="269"/>
      <c r="F54" s="269"/>
      <c r="G54" s="269"/>
      <c r="H54" s="269"/>
      <c r="I54" s="269"/>
      <c r="J54" s="270"/>
      <c r="K54" s="3"/>
      <c r="L54" s="3"/>
      <c r="M54" s="3"/>
      <c r="N54" s="3"/>
    </row>
    <row r="55" spans="1:14" ht="15" customHeight="1">
      <c r="A55" s="268" t="s">
        <v>96</v>
      </c>
      <c r="B55" s="269"/>
      <c r="C55" s="269"/>
      <c r="D55" s="269"/>
      <c r="E55" s="269"/>
      <c r="F55" s="269"/>
      <c r="G55" s="269"/>
      <c r="H55" s="269"/>
      <c r="I55" s="269"/>
      <c r="J55" s="270"/>
      <c r="K55" s="3"/>
      <c r="L55" s="3"/>
      <c r="M55" s="3"/>
      <c r="N55" s="3"/>
    </row>
    <row r="56" spans="1:14" ht="15" customHeight="1">
      <c r="A56" s="112"/>
      <c r="B56" s="110"/>
      <c r="C56" s="110"/>
      <c r="D56" s="110"/>
      <c r="E56" s="110"/>
      <c r="F56" s="110"/>
      <c r="G56" s="110"/>
      <c r="H56" s="110"/>
      <c r="I56" s="110"/>
      <c r="J56" s="111"/>
      <c r="K56" s="3"/>
      <c r="L56" s="3"/>
      <c r="M56" s="3"/>
      <c r="N56" s="3"/>
    </row>
    <row r="57" spans="1:14" ht="15" customHeight="1" thickBot="1">
      <c r="A57" s="327" t="s">
        <v>185</v>
      </c>
      <c r="B57" s="328"/>
      <c r="C57" s="328"/>
      <c r="D57" s="328"/>
      <c r="E57" s="328"/>
      <c r="F57" s="328"/>
      <c r="G57" s="328"/>
      <c r="H57" s="328"/>
      <c r="I57" s="328"/>
      <c r="J57" s="329"/>
      <c r="K57" s="3"/>
      <c r="L57" s="3"/>
      <c r="M57" s="3"/>
      <c r="N57" s="3"/>
    </row>
    <row r="58" spans="1:14" ht="18" customHeight="1" thickBot="1">
      <c r="A58" s="305" t="s">
        <v>113</v>
      </c>
      <c r="B58" s="306"/>
      <c r="C58" s="306"/>
      <c r="D58" s="307"/>
      <c r="E58" s="307"/>
      <c r="F58" s="307"/>
      <c r="G58" s="307"/>
      <c r="H58" s="307"/>
      <c r="I58" s="307"/>
      <c r="J58" s="308"/>
      <c r="K58" s="3"/>
      <c r="L58" s="3"/>
      <c r="M58" s="3"/>
      <c r="N58" s="3"/>
    </row>
    <row r="59" spans="1:14" ht="18" customHeight="1" thickBot="1">
      <c r="A59" s="242" t="s">
        <v>114</v>
      </c>
      <c r="B59" s="243"/>
      <c r="C59" s="244" t="s">
        <v>115</v>
      </c>
      <c r="D59" s="245"/>
      <c r="E59" s="246"/>
      <c r="F59" s="247"/>
      <c r="G59" s="242" t="s">
        <v>116</v>
      </c>
      <c r="H59" s="245"/>
      <c r="I59" s="246"/>
      <c r="J59" s="248"/>
      <c r="K59" s="197" t="s">
        <v>252</v>
      </c>
      <c r="L59" s="198" t="s">
        <v>253</v>
      </c>
      <c r="M59" s="3"/>
      <c r="N59" s="3"/>
    </row>
    <row r="60" spans="1:14" ht="18" customHeight="1">
      <c r="A60" s="281" t="s">
        <v>78</v>
      </c>
      <c r="B60" s="282"/>
      <c r="C60" s="249" t="s">
        <v>131</v>
      </c>
      <c r="D60" s="250"/>
      <c r="E60" s="250"/>
      <c r="F60" s="251"/>
      <c r="G60" s="252" t="s">
        <v>117</v>
      </c>
      <c r="H60" s="253"/>
      <c r="I60" s="253"/>
      <c r="J60" s="254"/>
      <c r="K60" s="199" t="s">
        <v>254</v>
      </c>
      <c r="L60" s="200">
        <v>1</v>
      </c>
      <c r="M60" s="3"/>
      <c r="N60" s="3"/>
    </row>
    <row r="61" spans="1:14" ht="18" customHeight="1">
      <c r="A61" s="255" t="s">
        <v>245</v>
      </c>
      <c r="B61" s="256"/>
      <c r="C61" s="232" t="s">
        <v>76</v>
      </c>
      <c r="D61" s="233"/>
      <c r="E61" s="233"/>
      <c r="F61" s="234"/>
      <c r="G61" s="283" t="s">
        <v>119</v>
      </c>
      <c r="H61" s="284"/>
      <c r="I61" s="284"/>
      <c r="J61" s="285"/>
      <c r="K61" s="201" t="s">
        <v>255</v>
      </c>
      <c r="L61" s="200">
        <v>1</v>
      </c>
      <c r="M61" s="3"/>
      <c r="N61" s="3"/>
    </row>
    <row r="62" spans="1:14" ht="18" customHeight="1">
      <c r="A62" s="230" t="s">
        <v>79</v>
      </c>
      <c r="B62" s="231"/>
      <c r="C62" s="232" t="s">
        <v>77</v>
      </c>
      <c r="D62" s="233"/>
      <c r="E62" s="233"/>
      <c r="F62" s="234"/>
      <c r="G62" s="283" t="s">
        <v>120</v>
      </c>
      <c r="H62" s="284"/>
      <c r="I62" s="284"/>
      <c r="J62" s="285"/>
      <c r="K62" s="201">
        <v>1</v>
      </c>
      <c r="L62" s="200">
        <v>1</v>
      </c>
      <c r="M62" s="3"/>
      <c r="N62" s="3"/>
    </row>
    <row r="63" spans="1:14" ht="18" customHeight="1">
      <c r="A63" s="235" t="s">
        <v>246</v>
      </c>
      <c r="B63" s="236"/>
      <c r="C63" s="237" t="s">
        <v>128</v>
      </c>
      <c r="D63" s="238"/>
      <c r="E63" s="238"/>
      <c r="F63" s="239"/>
      <c r="G63" s="291" t="s">
        <v>247</v>
      </c>
      <c r="H63" s="292"/>
      <c r="I63" s="292"/>
      <c r="J63" s="293"/>
      <c r="K63" s="199" t="s">
        <v>256</v>
      </c>
      <c r="L63" s="200">
        <v>0.9</v>
      </c>
      <c r="M63" s="3"/>
      <c r="N63" s="3"/>
    </row>
    <row r="64" spans="1:14" ht="18" customHeight="1">
      <c r="A64" s="289" t="s">
        <v>248</v>
      </c>
      <c r="B64" s="290"/>
      <c r="C64" s="232" t="s">
        <v>249</v>
      </c>
      <c r="D64" s="233"/>
      <c r="E64" s="233"/>
      <c r="F64" s="234"/>
      <c r="G64" s="283" t="s">
        <v>118</v>
      </c>
      <c r="H64" s="284"/>
      <c r="I64" s="284"/>
      <c r="J64" s="285"/>
      <c r="K64" s="201">
        <v>0.75</v>
      </c>
      <c r="L64" s="200">
        <v>0.8</v>
      </c>
      <c r="M64" s="3"/>
      <c r="N64" s="3"/>
    </row>
    <row r="65" spans="1:14" ht="18" customHeight="1" thickBot="1">
      <c r="A65" s="240" t="s">
        <v>250</v>
      </c>
      <c r="B65" s="241"/>
      <c r="C65" s="309" t="s">
        <v>251</v>
      </c>
      <c r="D65" s="310"/>
      <c r="E65" s="310"/>
      <c r="F65" s="311"/>
      <c r="G65" s="302" t="s">
        <v>118</v>
      </c>
      <c r="H65" s="303"/>
      <c r="I65" s="303"/>
      <c r="J65" s="304"/>
      <c r="K65" s="202">
        <v>0.7</v>
      </c>
      <c r="L65" s="203">
        <v>0.7</v>
      </c>
      <c r="M65" s="3"/>
      <c r="N65" s="3"/>
    </row>
    <row r="66" spans="11:14" ht="15.75">
      <c r="K66" s="3"/>
      <c r="L66" s="3"/>
      <c r="M66" s="3"/>
      <c r="N66" s="3"/>
    </row>
    <row r="67" spans="11:14" ht="15.75">
      <c r="K67" s="3"/>
      <c r="L67" s="3"/>
      <c r="M67" s="3"/>
      <c r="N67" s="3"/>
    </row>
    <row r="68" spans="11:14" ht="15.75">
      <c r="K68" s="3"/>
      <c r="L68" s="3"/>
      <c r="M68" s="3"/>
      <c r="N68" s="3"/>
    </row>
    <row r="69" spans="11:14" ht="15.75">
      <c r="K69" s="3"/>
      <c r="L69" s="3"/>
      <c r="M69" s="3"/>
      <c r="N69" s="3"/>
    </row>
    <row r="70" spans="11:14" ht="15.75">
      <c r="K70" s="3"/>
      <c r="L70" s="3"/>
      <c r="M70" s="3"/>
      <c r="N70" s="3"/>
    </row>
    <row r="71" spans="11:14" ht="15.75">
      <c r="K71" s="3"/>
      <c r="L71" s="196"/>
      <c r="M71" s="3"/>
      <c r="N71" s="3"/>
    </row>
    <row r="72" spans="11:14" ht="15.75">
      <c r="K72" s="3"/>
      <c r="L72" s="196"/>
      <c r="M72" s="3"/>
      <c r="N72" s="3"/>
    </row>
    <row r="73" spans="11:14" ht="15.75">
      <c r="K73" s="196"/>
      <c r="L73" s="196"/>
      <c r="M73" s="3"/>
      <c r="N73" s="3"/>
    </row>
    <row r="74" spans="11:14" ht="15.75">
      <c r="K74" s="3"/>
      <c r="L74" s="196"/>
      <c r="M74" s="3"/>
      <c r="N74" s="3"/>
    </row>
    <row r="75" spans="11:14" ht="15.75">
      <c r="K75" s="196"/>
      <c r="L75" s="196"/>
      <c r="M75" s="3"/>
      <c r="N75" s="3"/>
    </row>
    <row r="76" spans="11:14" ht="15.75">
      <c r="K76" s="196"/>
      <c r="L76" s="196"/>
      <c r="M76" s="3"/>
      <c r="N76" s="3"/>
    </row>
    <row r="77" spans="11:14" ht="15.75">
      <c r="K77" s="3"/>
      <c r="L77" s="3"/>
      <c r="M77" s="3"/>
      <c r="N77" s="3"/>
    </row>
    <row r="78" spans="11:14" ht="15.75">
      <c r="K78" s="3"/>
      <c r="L78" s="3"/>
      <c r="M78" s="3"/>
      <c r="N78" s="3"/>
    </row>
    <row r="79" spans="11:14" ht="15.75">
      <c r="K79" s="3"/>
      <c r="L79" s="3"/>
      <c r="M79" s="3"/>
      <c r="N79" s="3"/>
    </row>
    <row r="80" spans="11:14" ht="15.75">
      <c r="K80" s="8"/>
      <c r="L80" s="3"/>
      <c r="M80" s="3"/>
      <c r="N80" s="3"/>
    </row>
    <row r="81" spans="11:14" ht="15.75">
      <c r="K81" s="7"/>
      <c r="L81" s="3"/>
      <c r="M81" s="3"/>
      <c r="N81" s="3"/>
    </row>
    <row r="82" spans="11:14" ht="15.75">
      <c r="K82" s="7"/>
      <c r="L82" s="3"/>
      <c r="M82" s="3"/>
      <c r="N82" s="3"/>
    </row>
    <row r="83" spans="11:14" ht="13.5" customHeight="1">
      <c r="K83" s="3"/>
      <c r="L83" s="3"/>
      <c r="M83" s="3"/>
      <c r="N83" s="3"/>
    </row>
    <row r="84" spans="11:14" ht="15.75">
      <c r="K84" s="3"/>
      <c r="L84" s="3"/>
      <c r="M84" s="3"/>
      <c r="N84" s="3"/>
    </row>
    <row r="85" spans="11:14" ht="11.25" customHeight="1">
      <c r="K85" s="3"/>
      <c r="L85" s="3"/>
      <c r="M85" s="3"/>
      <c r="N85" s="3"/>
    </row>
    <row r="86" spans="11:14" ht="15" customHeight="1">
      <c r="K86" s="3"/>
      <c r="L86" s="3"/>
      <c r="M86" s="3"/>
      <c r="N86" s="3"/>
    </row>
    <row r="87" spans="11:14" ht="15" customHeight="1">
      <c r="K87" s="3"/>
      <c r="L87" s="3"/>
      <c r="M87" s="3"/>
      <c r="N87" s="3"/>
    </row>
    <row r="88" spans="11:14" ht="15.75">
      <c r="K88" s="3"/>
      <c r="L88" s="3"/>
      <c r="M88" s="3"/>
      <c r="N88" s="3"/>
    </row>
    <row r="89" spans="11:14" ht="15.75">
      <c r="K89" s="3"/>
      <c r="L89" s="3"/>
      <c r="M89" s="3"/>
      <c r="N89" s="3"/>
    </row>
    <row r="90" spans="11:14" ht="15.75">
      <c r="K90" s="3"/>
      <c r="L90" s="3"/>
      <c r="M90" s="3"/>
      <c r="N90" s="3"/>
    </row>
    <row r="91" spans="11:14" ht="27.75" customHeight="1">
      <c r="K91" s="3"/>
      <c r="L91" s="3"/>
      <c r="M91" s="3"/>
      <c r="N91" s="3"/>
    </row>
    <row r="92" spans="11:14" ht="15.75">
      <c r="K92" s="3"/>
      <c r="L92" s="3"/>
      <c r="M92" s="3"/>
      <c r="N92" s="3"/>
    </row>
    <row r="93" spans="11:14" ht="15.75">
      <c r="K93" s="3"/>
      <c r="L93" s="3"/>
      <c r="M93" s="3"/>
      <c r="N93" s="3"/>
    </row>
    <row r="94" spans="11:14" ht="15.75">
      <c r="K94" s="10"/>
      <c r="L94" s="3"/>
      <c r="M94" s="3"/>
      <c r="N94" s="3"/>
    </row>
    <row r="95" ht="15.75">
      <c r="K95" s="10"/>
    </row>
    <row r="96" ht="12.75" customHeight="1">
      <c r="K96" s="9"/>
    </row>
    <row r="97" spans="11:12" ht="18.75" customHeight="1">
      <c r="K97" s="11"/>
      <c r="L97" s="9"/>
    </row>
    <row r="98" spans="11:12" ht="12.75" customHeight="1">
      <c r="K98" s="3"/>
      <c r="L98" s="8"/>
    </row>
    <row r="99" spans="11:12" ht="12.75" customHeight="1">
      <c r="K99" s="3"/>
      <c r="L99" s="8"/>
    </row>
    <row r="100" spans="11:12" ht="12.75" customHeight="1">
      <c r="K100" s="3"/>
      <c r="L100" s="8"/>
    </row>
    <row r="101" ht="15.75">
      <c r="K101" s="3"/>
    </row>
    <row r="102" ht="15.75">
      <c r="K102" s="3"/>
    </row>
    <row r="103" ht="15.75">
      <c r="K103" s="3"/>
    </row>
    <row r="104" spans="11:12" ht="15.75">
      <c r="K104" s="3"/>
      <c r="L104" s="3"/>
    </row>
    <row r="105" spans="11:12" ht="15.75">
      <c r="K105" s="3"/>
      <c r="L105" s="3"/>
    </row>
    <row r="106" spans="11:12" ht="15.75">
      <c r="K106" s="3"/>
      <c r="L106" s="3"/>
    </row>
    <row r="107" spans="11:12" ht="15.75">
      <c r="K107" s="3"/>
      <c r="L107" s="3"/>
    </row>
    <row r="108" spans="11:12" ht="15.75">
      <c r="K108" s="3"/>
      <c r="L108" s="3"/>
    </row>
    <row r="109" ht="15.75">
      <c r="L109" s="3"/>
    </row>
    <row r="110" ht="15.75">
      <c r="L110" s="3"/>
    </row>
    <row r="111" ht="15.75">
      <c r="L111" s="3"/>
    </row>
    <row r="112" ht="15.75">
      <c r="L112" s="3"/>
    </row>
    <row r="113" ht="15.75">
      <c r="L113" s="3"/>
    </row>
    <row r="114" ht="15.75">
      <c r="L114" s="3"/>
    </row>
    <row r="115" ht="15.75">
      <c r="L115" s="3"/>
    </row>
    <row r="116" ht="15.75">
      <c r="L116" s="3"/>
    </row>
  </sheetData>
  <sheetProtection password="F7AF" sheet="1"/>
  <mergeCells count="65">
    <mergeCell ref="A18:J18"/>
    <mergeCell ref="A6:J6"/>
    <mergeCell ref="A55:J55"/>
    <mergeCell ref="A57:J57"/>
    <mergeCell ref="A22:J22"/>
    <mergeCell ref="A47:J47"/>
    <mergeCell ref="A48:J48"/>
    <mergeCell ref="A49:J49"/>
    <mergeCell ref="A26:J26"/>
    <mergeCell ref="A29:J29"/>
    <mergeCell ref="A17:J17"/>
    <mergeCell ref="A5:J5"/>
    <mergeCell ref="A9:J9"/>
    <mergeCell ref="A11:J11"/>
    <mergeCell ref="A7:J7"/>
    <mergeCell ref="A15:J15"/>
    <mergeCell ref="A14:J14"/>
    <mergeCell ref="G65:J65"/>
    <mergeCell ref="A58:J58"/>
    <mergeCell ref="A25:J25"/>
    <mergeCell ref="A50:J50"/>
    <mergeCell ref="A43:J43"/>
    <mergeCell ref="A44:J44"/>
    <mergeCell ref="C65:F65"/>
    <mergeCell ref="A32:J32"/>
    <mergeCell ref="A31:J31"/>
    <mergeCell ref="G62:J62"/>
    <mergeCell ref="G64:J64"/>
    <mergeCell ref="A42:J42"/>
    <mergeCell ref="A64:B64"/>
    <mergeCell ref="G61:J61"/>
    <mergeCell ref="G63:J63"/>
    <mergeCell ref="A46:J46"/>
    <mergeCell ref="A52:J52"/>
    <mergeCell ref="A53:J53"/>
    <mergeCell ref="A54:J54"/>
    <mergeCell ref="A40:J40"/>
    <mergeCell ref="A36:J36"/>
    <mergeCell ref="A38:J38"/>
    <mergeCell ref="A41:J41"/>
    <mergeCell ref="A37:J37"/>
    <mergeCell ref="A34:J34"/>
    <mergeCell ref="A8:J8"/>
    <mergeCell ref="A24:J24"/>
    <mergeCell ref="A19:J19"/>
    <mergeCell ref="A10:J10"/>
    <mergeCell ref="A39:J39"/>
    <mergeCell ref="A35:J35"/>
    <mergeCell ref="A30:J30"/>
    <mergeCell ref="A33:J33"/>
    <mergeCell ref="A21:J21"/>
    <mergeCell ref="A59:B59"/>
    <mergeCell ref="C59:F59"/>
    <mergeCell ref="G59:J59"/>
    <mergeCell ref="C60:F60"/>
    <mergeCell ref="G60:J60"/>
    <mergeCell ref="A61:B61"/>
    <mergeCell ref="C61:F61"/>
    <mergeCell ref="A60:B60"/>
    <mergeCell ref="A62:B62"/>
    <mergeCell ref="C62:F62"/>
    <mergeCell ref="A63:B63"/>
    <mergeCell ref="C63:F63"/>
    <mergeCell ref="C64:F64"/>
    <mergeCell ref="A65:B65"/>
  </mergeCells>
  <hyperlinks>
    <hyperlink ref="A30:D30" location="MARATHON6!A1" tooltip="Cliquez sur cette zone pour aller dans le plan" display="Un plan sur 6 séances hebdomadaires;"/>
    <hyperlink ref="A32:D32" location="MARATHON4!A1" tooltip="Cliquez ici pour aller dans le plan" display="Un plan sur 4 séances hebdomadaires."/>
    <hyperlink ref="A31:D31" location="MARATHON5!A1" tooltip="Cliquez ici pour aller dans le plan" display="Un plan sur 5 séances hebdomadaires;"/>
    <hyperlink ref="A32:J32" location="'20 Km 3 ent.'!A1" tooltip="Cliquez ici pour aller dans le plan" display="Un plan sur 3 séances hebdomadaires"/>
    <hyperlink ref="A31:J31" location="'20 Km 4 ent.'!A1" tooltip="Cliquez ici pour aller dans le plan" display="Un plan sur 4 séances hebdomadaires"/>
    <hyperlink ref="A30:J30" location="'20 Km 5 ent.'!A1" tooltip="Cliquez sur cette zone pour aller dans le plan" display="Un plan sur 5 séances hebdomadaires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R25"/>
  <sheetViews>
    <sheetView workbookViewId="0" topLeftCell="A1">
      <selection activeCell="C4" sqref="C4"/>
    </sheetView>
  </sheetViews>
  <sheetFormatPr defaultColWidth="11.421875" defaultRowHeight="12.75"/>
  <cols>
    <col min="1" max="1" width="73.7109375" style="0" customWidth="1"/>
    <col min="2" max="2" width="10.7109375" style="0" customWidth="1"/>
    <col min="3" max="3" width="8.00390625" style="0" customWidth="1"/>
    <col min="4" max="4" width="47.421875" style="0" customWidth="1"/>
    <col min="5" max="5" width="12.140625" style="0" customWidth="1"/>
    <col min="6" max="6" width="8.28125" style="0" customWidth="1"/>
    <col min="7" max="7" width="14.421875" style="0" customWidth="1"/>
    <col min="8" max="8" width="16.00390625" style="0" customWidth="1"/>
    <col min="9" max="12" width="12.28125" style="0" customWidth="1"/>
  </cols>
  <sheetData>
    <row r="1" ht="12.75">
      <c r="AR1" s="187">
        <v>2000</v>
      </c>
    </row>
    <row r="2" ht="12.75">
      <c r="AR2" s="187">
        <v>1500</v>
      </c>
    </row>
    <row r="6" ht="13.5" thickBot="1"/>
    <row r="7" spans="1:5" ht="18" customHeight="1" thickBot="1">
      <c r="A7" s="337" t="s">
        <v>0</v>
      </c>
      <c r="B7" s="338"/>
      <c r="C7" s="338"/>
      <c r="D7" s="339"/>
      <c r="E7" s="340"/>
    </row>
    <row r="8" spans="1:5" ht="18" customHeight="1" thickBot="1">
      <c r="A8" s="341" t="s">
        <v>25</v>
      </c>
      <c r="B8" s="342"/>
      <c r="C8" s="96" t="s">
        <v>26</v>
      </c>
      <c r="D8" s="343" t="s">
        <v>160</v>
      </c>
      <c r="E8" s="344"/>
    </row>
    <row r="9" spans="1:5" ht="18" customHeight="1">
      <c r="A9" s="81" t="s">
        <v>164</v>
      </c>
      <c r="B9" s="82">
        <v>1500</v>
      </c>
      <c r="C9" s="345"/>
      <c r="D9" s="83" t="s">
        <v>155</v>
      </c>
      <c r="E9" s="84">
        <v>0.04708333333333333</v>
      </c>
    </row>
    <row r="10" spans="1:5" ht="18" customHeight="1" thickBot="1">
      <c r="A10" s="85" t="s">
        <v>165</v>
      </c>
      <c r="B10" s="86">
        <v>0.004166666666666667</v>
      </c>
      <c r="C10" s="346"/>
      <c r="D10" s="97" t="s">
        <v>129</v>
      </c>
      <c r="E10" s="98">
        <v>42085</v>
      </c>
    </row>
    <row r="11" spans="1:6" ht="18" customHeight="1" thickBot="1">
      <c r="A11" s="87" t="s">
        <v>33</v>
      </c>
      <c r="B11" s="88" t="str">
        <f>TEXT(cat_test_3/K_test,"mm:ss")</f>
        <v>04:00</v>
      </c>
      <c r="C11" s="346"/>
      <c r="D11" s="348" t="s">
        <v>18</v>
      </c>
      <c r="E11" s="349"/>
      <c r="F11" s="2"/>
    </row>
    <row r="12" spans="1:5" ht="18" customHeight="1">
      <c r="A12" s="87" t="s">
        <v>34</v>
      </c>
      <c r="B12" s="89">
        <f>(HOUR(cat_test_3)*3600+MINUTE(cat_test_3)*60+SECOND(cat_test_3))/K_test</f>
        <v>240</v>
      </c>
      <c r="C12" s="346"/>
      <c r="D12" s="158" t="str">
        <f>IF(D_test=2000,"Test 2000m pour objectif:","CAT test 1500m pour objectif:")</f>
        <v>CAT test 1500m pour objectif:</v>
      </c>
      <c r="E12" s="159" t="str">
        <f>TEXT(((objectif/(dist_semi/K_test))*k_semi),"h:mm:ss")</f>
        <v>0:04:25</v>
      </c>
    </row>
    <row r="13" spans="1:5" ht="18" customHeight="1" thickBot="1">
      <c r="A13" s="87" t="s">
        <v>1</v>
      </c>
      <c r="B13" s="90">
        <f>1000/cat_sec</f>
        <v>4.166666666666667</v>
      </c>
      <c r="C13" s="346"/>
      <c r="D13" s="160" t="s">
        <v>19</v>
      </c>
      <c r="E13" s="163" t="str">
        <f>TEXT(((objectif/dist_semi)*k_semi),"hh:mm:ss")</f>
        <v>00:02:57</v>
      </c>
    </row>
    <row r="14" spans="1:5" ht="18" customHeight="1">
      <c r="A14" s="87" t="s">
        <v>161</v>
      </c>
      <c r="B14" s="91">
        <f>1/cat_sec*3600</f>
        <v>15</v>
      </c>
      <c r="C14" s="346"/>
      <c r="D14" s="164"/>
      <c r="E14" s="165"/>
    </row>
    <row r="15" spans="1:6" ht="18" customHeight="1" thickBot="1">
      <c r="A15" s="92" t="s">
        <v>48</v>
      </c>
      <c r="B15" s="93">
        <f>cat_kmh*ind_vma</f>
        <v>55.5</v>
      </c>
      <c r="C15" s="347"/>
      <c r="D15" s="162"/>
      <c r="E15" s="166"/>
      <c r="F15" s="6"/>
    </row>
    <row r="16" spans="1:5" ht="18" customHeight="1">
      <c r="A16" s="335" t="s">
        <v>162</v>
      </c>
      <c r="B16" s="336"/>
      <c r="C16" s="153">
        <v>60</v>
      </c>
      <c r="D16" s="162"/>
      <c r="E16" s="193"/>
    </row>
    <row r="17" spans="1:5" ht="18" customHeight="1" thickBot="1">
      <c r="A17" s="333" t="s">
        <v>163</v>
      </c>
      <c r="B17" s="334"/>
      <c r="C17" s="154">
        <v>190</v>
      </c>
      <c r="D17" s="162"/>
      <c r="E17" s="166"/>
    </row>
    <row r="18" spans="1:5" ht="18" customHeight="1">
      <c r="A18" s="94" t="s">
        <v>159</v>
      </c>
      <c r="B18" s="106">
        <v>1000</v>
      </c>
      <c r="C18" s="155">
        <f>fc_x</f>
        <v>177</v>
      </c>
      <c r="D18" s="162"/>
      <c r="E18" s="167"/>
    </row>
    <row r="19" spans="1:5" ht="18" customHeight="1">
      <c r="A19" s="103" t="s">
        <v>56</v>
      </c>
      <c r="B19" s="107" t="str">
        <f>TEXT(INT(B21/60),"00")&amp;":"&amp;TEXT(B21-(INT(B21/60)*60),"00")</f>
        <v>04:00</v>
      </c>
      <c r="C19" s="152">
        <f>fc_x</f>
        <v>177</v>
      </c>
      <c r="D19" s="162"/>
      <c r="E19" s="167"/>
    </row>
    <row r="20" spans="1:5" ht="18" customHeight="1" thickBot="1">
      <c r="A20" s="103" t="s">
        <v>41</v>
      </c>
      <c r="B20" s="90">
        <f>B18/B21*3.6</f>
        <v>15.000000000000002</v>
      </c>
      <c r="C20" s="152">
        <f>fc_x</f>
        <v>177</v>
      </c>
      <c r="D20" s="161"/>
      <c r="E20" s="168"/>
    </row>
    <row r="21" spans="1:5" ht="18" customHeight="1" thickBot="1">
      <c r="A21" s="103" t="s">
        <v>59</v>
      </c>
      <c r="B21" s="89">
        <f>dist_vma/(B13+(0.075*((1000-dist_vma)/1000)))</f>
        <v>239.99999999999997</v>
      </c>
      <c r="C21" s="105">
        <f>fc_x</f>
        <v>177</v>
      </c>
      <c r="D21" s="156" t="s">
        <v>156</v>
      </c>
      <c r="E21" s="157" t="str">
        <f>TEXT(objectif/dist_semi,"hh:mm:ss")</f>
        <v>00:03:23</v>
      </c>
    </row>
    <row r="22" spans="1:5" ht="18" customHeight="1">
      <c r="A22" s="103" t="s">
        <v>202</v>
      </c>
      <c r="B22" s="188" t="str">
        <f>TEXT(cat_test_3/K_test/0.89,"hh:mm:ss")</f>
        <v>00:04:30</v>
      </c>
      <c r="C22" s="105">
        <f>fc_repos+(z_travail*k_vma*k_anaero)</f>
        <v>162.95999999999998</v>
      </c>
      <c r="D22" s="108"/>
      <c r="E22" s="99"/>
    </row>
    <row r="23" spans="1:5" ht="18" customHeight="1">
      <c r="A23" s="103" t="s">
        <v>66</v>
      </c>
      <c r="B23" s="107">
        <f>cat_test_3/K_test/k_recup</f>
        <v>0.004084967320261438</v>
      </c>
      <c r="C23" s="105">
        <f>fc_repos+(z_travail*k_vma*k_recup)</f>
        <v>139.56</v>
      </c>
      <c r="D23" s="102"/>
      <c r="E23" s="100"/>
    </row>
    <row r="24" spans="1:5" ht="18" customHeight="1">
      <c r="A24" s="103" t="s">
        <v>157</v>
      </c>
      <c r="B24" s="107">
        <f>cat_test_3/K_test/k_semi_2</f>
        <v>0.0031387319522912746</v>
      </c>
      <c r="C24" s="105">
        <f>fc_repos+(z_travail*k_vma*k_semi)</f>
        <v>161.79000000000002</v>
      </c>
      <c r="D24" s="102"/>
      <c r="E24" s="100"/>
    </row>
    <row r="25" spans="1:5" ht="18" customHeight="1" thickBot="1">
      <c r="A25" s="104" t="s">
        <v>158</v>
      </c>
      <c r="B25" s="95">
        <f>cat_test_3/K_test/k_semi_2*dist_semi</f>
        <v>0.06277463904582549</v>
      </c>
      <c r="C25" s="105">
        <f>fc_repos+(z_travail*k_vma*k_semi)</f>
        <v>161.79000000000002</v>
      </c>
      <c r="D25" s="109"/>
      <c r="E25" s="101"/>
    </row>
    <row r="34" ht="19.5" customHeight="1"/>
  </sheetData>
  <sheetProtection password="F7AF" sheet="1"/>
  <mergeCells count="7">
    <mergeCell ref="A17:B17"/>
    <mergeCell ref="A16:B16"/>
    <mergeCell ref="A7:E7"/>
    <mergeCell ref="A8:B8"/>
    <mergeCell ref="D8:E8"/>
    <mergeCell ref="C9:C15"/>
    <mergeCell ref="D11:E11"/>
  </mergeCells>
  <dataValidations count="1">
    <dataValidation type="list" allowBlank="1" showInputMessage="1" showErrorMessage="1" sqref="B9">
      <formula1>Etalonnage!$AR$1:$AR$2</formula1>
    </dataValidation>
  </dataValidations>
  <printOptions horizontalCentered="1" verticalCentered="1"/>
  <pageMargins left="0.2" right="0.27" top="0.36" bottom="0.7874015748031497" header="0.24" footer="0.5118110236220472"/>
  <pageSetup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P43"/>
  <sheetViews>
    <sheetView zoomScale="90" zoomScaleNormal="90" workbookViewId="0" topLeftCell="A19">
      <selection activeCell="K32" sqref="K31:K32"/>
    </sheetView>
  </sheetViews>
  <sheetFormatPr defaultColWidth="11.421875" defaultRowHeight="33.75" customHeight="1"/>
  <cols>
    <col min="1" max="1" width="6.7109375" style="0" customWidth="1"/>
    <col min="2" max="2" width="17.421875" style="14" customWidth="1"/>
    <col min="3" max="3" width="7.7109375" style="0" customWidth="1"/>
    <col min="4" max="4" width="7.421875" style="15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7.00390625" style="14" customWidth="1"/>
    <col min="15" max="15" width="7.7109375" style="0" customWidth="1"/>
    <col min="16" max="16" width="3.8515625" style="15" bestFit="1" customWidth="1"/>
  </cols>
  <sheetData>
    <row r="3" ht="33.75" customHeight="1" thickBot="1"/>
    <row r="4" spans="1:16" ht="33.75" customHeight="1" thickBot="1">
      <c r="A4" s="42"/>
      <c r="B4" s="350" t="s">
        <v>20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43"/>
      <c r="P4" s="44"/>
    </row>
    <row r="5" spans="1:16" ht="33.75" customHeight="1" thickBot="1">
      <c r="A5" s="29"/>
      <c r="B5" s="30" t="str">
        <f>"semaine du "&amp;TEXT(mdate-83,"jj/mm")&amp;" au "&amp;TEXT(mdate-77,"jj/mm")</f>
        <v>semaine du 29/12 au 04/01</v>
      </c>
      <c r="C5" s="30" t="s">
        <v>81</v>
      </c>
      <c r="D5" s="31" t="s">
        <v>16</v>
      </c>
      <c r="E5" s="29"/>
      <c r="F5" s="30" t="str">
        <f>"semaine du "&amp;TEXT(mdate-76,"jj/mm")&amp;" au "&amp;TEXT(mdate-70,"jj/mm")</f>
        <v>semaine du 05/01 au 11/01</v>
      </c>
      <c r="G5" s="32" t="s">
        <v>81</v>
      </c>
      <c r="H5" s="31" t="s">
        <v>16</v>
      </c>
      <c r="I5" s="29"/>
      <c r="J5" s="30" t="str">
        <f>"semaine du "&amp;TEXT(mdate-69,"jj/mm")&amp;" au "&amp;TEXT(mdate-63,"jj/mm")</f>
        <v>semaine du 12/01 au 18/01</v>
      </c>
      <c r="K5" s="30" t="s">
        <v>81</v>
      </c>
      <c r="L5" s="31" t="s">
        <v>16</v>
      </c>
      <c r="M5" s="29"/>
      <c r="N5" s="30" t="str">
        <f>"semaine du "&amp;TEXT(mdate-62,"jj/mm")&amp;" au "&amp;TEXT(mdate-56,"jj/mm")</f>
        <v>semaine du 19/01 au 25/01</v>
      </c>
      <c r="O5" s="30" t="s">
        <v>81</v>
      </c>
      <c r="P5" s="31" t="s">
        <v>16</v>
      </c>
    </row>
    <row r="6" spans="1:16" ht="33.75" customHeight="1">
      <c r="A6" s="39" t="s">
        <v>109</v>
      </c>
      <c r="B6" s="224" t="s">
        <v>17</v>
      </c>
      <c r="C6" s="36"/>
      <c r="D6" s="34"/>
      <c r="E6" s="39" t="s">
        <v>109</v>
      </c>
      <c r="F6" s="223" t="s">
        <v>17</v>
      </c>
      <c r="G6" s="36"/>
      <c r="H6" s="33"/>
      <c r="I6" s="39" t="s">
        <v>109</v>
      </c>
      <c r="J6" s="223" t="s">
        <v>17</v>
      </c>
      <c r="K6" s="36"/>
      <c r="L6" s="33"/>
      <c r="M6" s="39" t="s">
        <v>109</v>
      </c>
      <c r="N6" s="223" t="s">
        <v>17</v>
      </c>
      <c r="O6" s="36"/>
      <c r="P6" s="33"/>
    </row>
    <row r="7" spans="1:16" ht="33.75" customHeight="1">
      <c r="A7" s="40" t="s">
        <v>108</v>
      </c>
      <c r="B7" s="210" t="s">
        <v>4</v>
      </c>
      <c r="C7" s="37">
        <f>(vma_obj_km)/78%</f>
        <v>0.0026264245014245018</v>
      </c>
      <c r="D7" s="34">
        <f>fc_repos+(z_travail*0.76)</f>
        <v>158.8</v>
      </c>
      <c r="E7" s="40" t="s">
        <v>108</v>
      </c>
      <c r="F7" s="210" t="s">
        <v>4</v>
      </c>
      <c r="G7" s="37">
        <f>(vma_obj_km)/78%</f>
        <v>0.0026264245014245018</v>
      </c>
      <c r="H7" s="34">
        <f>fc_repos+(z_travail*0.76)</f>
        <v>158.8</v>
      </c>
      <c r="I7" s="40" t="s">
        <v>108</v>
      </c>
      <c r="J7" s="210" t="s">
        <v>188</v>
      </c>
      <c r="K7" s="37">
        <f>(vma_obj_km)/78%</f>
        <v>0.0026264245014245018</v>
      </c>
      <c r="L7" s="34">
        <f>fc_repos+(z_travail*0.76)</f>
        <v>158.8</v>
      </c>
      <c r="M7" s="40" t="s">
        <v>108</v>
      </c>
      <c r="N7" s="210" t="s">
        <v>4</v>
      </c>
      <c r="O7" s="37">
        <f>(vma_obj_km)/78%</f>
        <v>0.0026264245014245018</v>
      </c>
      <c r="P7" s="34">
        <f>fc_repos+(z_travail*0.76)</f>
        <v>158.8</v>
      </c>
    </row>
    <row r="8" spans="1:16" ht="39.75" customHeight="1">
      <c r="A8" s="40" t="s">
        <v>103</v>
      </c>
      <c r="B8" s="220" t="s">
        <v>170</v>
      </c>
      <c r="C8" s="37">
        <f>(vma_obj_km)/88.5%</f>
        <v>0.002314814814814815</v>
      </c>
      <c r="D8" s="34">
        <f>fc_repos+(z_travail*0.87)</f>
        <v>173.1</v>
      </c>
      <c r="E8" s="40" t="s">
        <v>103</v>
      </c>
      <c r="F8" s="45" t="s">
        <v>237</v>
      </c>
      <c r="G8" s="37">
        <f>(vma_obj_km)/100%</f>
        <v>0.0020486111111111113</v>
      </c>
      <c r="H8" s="34">
        <f>fc_repos+(z_travail*0.9)</f>
        <v>177</v>
      </c>
      <c r="I8" s="40" t="s">
        <v>103</v>
      </c>
      <c r="J8" s="213" t="s">
        <v>205</v>
      </c>
      <c r="K8" s="37">
        <f>vma_obj_km/117%/1000*200</f>
        <v>0.0003501899335232669</v>
      </c>
      <c r="L8" s="34">
        <f>fc_repos+(z_travail*0.92)</f>
        <v>179.60000000000002</v>
      </c>
      <c r="M8" s="40" t="s">
        <v>103</v>
      </c>
      <c r="N8" s="45" t="s">
        <v>238</v>
      </c>
      <c r="O8" s="37">
        <f>(vma_obj_km)/100%</f>
        <v>0.0020486111111111113</v>
      </c>
      <c r="P8" s="34">
        <f>fc_repos+(z_travail*0.9)</f>
        <v>177</v>
      </c>
    </row>
    <row r="9" spans="1:16" ht="33.75" customHeight="1">
      <c r="A9" s="40" t="s">
        <v>107</v>
      </c>
      <c r="B9" s="210" t="s">
        <v>80</v>
      </c>
      <c r="C9" s="37">
        <f>(vma_obj_km)/78%</f>
        <v>0.0026264245014245018</v>
      </c>
      <c r="D9" s="34">
        <f>fc_repos+(z_travail*0.76)</f>
        <v>158.8</v>
      </c>
      <c r="E9" s="40" t="s">
        <v>107</v>
      </c>
      <c r="F9" s="210" t="s">
        <v>139</v>
      </c>
      <c r="G9" s="37">
        <f>(vma_obj_km)/78%</f>
        <v>0.0026264245014245018</v>
      </c>
      <c r="H9" s="34">
        <f>fc_repos+(z_travail*0.76)</f>
        <v>158.8</v>
      </c>
      <c r="I9" s="40" t="s">
        <v>107</v>
      </c>
      <c r="J9" s="210" t="s">
        <v>4</v>
      </c>
      <c r="K9" s="37">
        <f>(vma_obj_km)/78%</f>
        <v>0.0026264245014245018</v>
      </c>
      <c r="L9" s="34">
        <f>fc_repos+(z_travail*0.76)</f>
        <v>158.8</v>
      </c>
      <c r="M9" s="40" t="s">
        <v>107</v>
      </c>
      <c r="N9" s="210" t="s">
        <v>4</v>
      </c>
      <c r="O9" s="37">
        <f>(vma_obj_km)/78%</f>
        <v>0.0026264245014245018</v>
      </c>
      <c r="P9" s="34">
        <f>fc_repos+(z_travail*0.76)</f>
        <v>158.8</v>
      </c>
    </row>
    <row r="10" spans="1:16" ht="33.75" customHeight="1">
      <c r="A10" s="40" t="s">
        <v>104</v>
      </c>
      <c r="B10" s="224" t="s">
        <v>17</v>
      </c>
      <c r="C10" s="37"/>
      <c r="D10" s="34"/>
      <c r="E10" s="40" t="s">
        <v>104</v>
      </c>
      <c r="F10" s="224" t="s">
        <v>17</v>
      </c>
      <c r="G10" s="37"/>
      <c r="H10" s="34"/>
      <c r="I10" s="40" t="s">
        <v>104</v>
      </c>
      <c r="J10" s="224" t="s">
        <v>17</v>
      </c>
      <c r="K10" s="37"/>
      <c r="L10" s="34"/>
      <c r="M10" s="40" t="s">
        <v>104</v>
      </c>
      <c r="N10" s="224" t="s">
        <v>17</v>
      </c>
      <c r="O10" s="37"/>
      <c r="P10" s="34"/>
    </row>
    <row r="11" spans="1:16" ht="37.5" customHeight="1">
      <c r="A11" s="40" t="s">
        <v>105</v>
      </c>
      <c r="B11" s="213" t="s">
        <v>228</v>
      </c>
      <c r="C11" s="37">
        <f>vma_obj_km/117%/1000*200</f>
        <v>0.0003501899335232669</v>
      </c>
      <c r="D11" s="34">
        <f>fc_repos+(z_travail*0.93)</f>
        <v>180.9</v>
      </c>
      <c r="E11" s="40" t="s">
        <v>105</v>
      </c>
      <c r="F11" s="217" t="s">
        <v>192</v>
      </c>
      <c r="G11" s="37">
        <f>(vma_obj_km)/88.5%</f>
        <v>0.002314814814814815</v>
      </c>
      <c r="H11" s="34">
        <f>fc_repos+(z_travail*0.87)</f>
        <v>173.1</v>
      </c>
      <c r="I11" s="40" t="s">
        <v>105</v>
      </c>
      <c r="J11" s="217" t="s">
        <v>191</v>
      </c>
      <c r="K11" s="37">
        <f>(vma_obj_km)/88.5%</f>
        <v>0.002314814814814815</v>
      </c>
      <c r="L11" s="34">
        <f>fc_repos+(z_travail*0.87)</f>
        <v>173.1</v>
      </c>
      <c r="M11" s="40" t="s">
        <v>105</v>
      </c>
      <c r="N11" s="217" t="s">
        <v>169</v>
      </c>
      <c r="O11" s="37">
        <f>(vma_obj_km)/88.5%</f>
        <v>0.002314814814814815</v>
      </c>
      <c r="P11" s="34">
        <f>fc_repos+(z_travail*0.87)</f>
        <v>173.1</v>
      </c>
    </row>
    <row r="12" spans="1:16" ht="33.75" customHeight="1" thickBot="1">
      <c r="A12" s="41" t="s">
        <v>106</v>
      </c>
      <c r="B12" s="204" t="s">
        <v>224</v>
      </c>
      <c r="C12" s="38">
        <f>(vma_obj_km)/68%</f>
        <v>0.0030126633986928106</v>
      </c>
      <c r="D12" s="35">
        <f>fc_repos+(z_travail*0.68)</f>
        <v>148.4</v>
      </c>
      <c r="E12" s="41" t="s">
        <v>106</v>
      </c>
      <c r="F12" s="204" t="s">
        <v>225</v>
      </c>
      <c r="G12" s="38">
        <f>(vma_obj_km)/68%</f>
        <v>0.0030126633986928106</v>
      </c>
      <c r="H12" s="35">
        <f>fc_repos+(z_travail*0.68)</f>
        <v>148.4</v>
      </c>
      <c r="I12" s="41" t="s">
        <v>106</v>
      </c>
      <c r="J12" s="204" t="s">
        <v>226</v>
      </c>
      <c r="K12" s="38">
        <f>(vma_obj_km)/68%</f>
        <v>0.0030126633986928106</v>
      </c>
      <c r="L12" s="35">
        <f>fc_repos+(z_travail*0.68)</f>
        <v>148.4</v>
      </c>
      <c r="M12" s="41" t="s">
        <v>106</v>
      </c>
      <c r="N12" s="204" t="s">
        <v>227</v>
      </c>
      <c r="O12" s="38">
        <f>(vma_obj_km)/68%</f>
        <v>0.0030126633986928106</v>
      </c>
      <c r="P12" s="35">
        <f>fc_repos+(z_travail*0.68)</f>
        <v>148.4</v>
      </c>
    </row>
    <row r="13" ht="33.75" customHeight="1">
      <c r="H13" s="191"/>
    </row>
    <row r="18" ht="33.75" customHeight="1" thickBot="1"/>
    <row r="19" spans="1:16" ht="33.75" customHeight="1" thickBot="1">
      <c r="A19" s="42"/>
      <c r="B19" s="350" t="s">
        <v>21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43"/>
      <c r="P19" s="44"/>
    </row>
    <row r="20" spans="1:16" ht="33.75" customHeight="1" thickBot="1">
      <c r="A20" s="29"/>
      <c r="B20" s="17" t="str">
        <f>"semaine du "&amp;TEXT(mdate-55,"jj/mm")&amp;" au "&amp;TEXT(mdate-49,"jj/mm")</f>
        <v>semaine du 26/01 au 01/02</v>
      </c>
      <c r="C20" s="19"/>
      <c r="D20" s="18"/>
      <c r="E20" s="29"/>
      <c r="F20" s="17" t="str">
        <f>"semaine du "&amp;TEXT(mdate-48,"jj/mm")&amp;" au "&amp;TEXT(mdate-42,"jj/mm")</f>
        <v>semaine du 02/02 au 08/02</v>
      </c>
      <c r="G20" s="19"/>
      <c r="H20" s="18"/>
      <c r="I20" s="29"/>
      <c r="J20" s="17" t="str">
        <f>"semaine du "&amp;TEXT(mdate-41,"jj/mm")&amp;" au "&amp;TEXT(mdate-35,"jj/mm")</f>
        <v>semaine du 09/02 au 15/02</v>
      </c>
      <c r="K20" s="20"/>
      <c r="L20" s="18"/>
      <c r="M20" s="29"/>
      <c r="N20" s="17" t="str">
        <f>"semaine du "&amp;TEXT(mdate-34,"jj/mm")&amp;" au "&amp;TEXT(mdate-28,"jj/mm")</f>
        <v>semaine du 16/02 au 22/02</v>
      </c>
      <c r="O20" s="20"/>
      <c r="P20" s="18"/>
    </row>
    <row r="21" spans="1:16" ht="33.75" customHeight="1">
      <c r="A21" s="39" t="s">
        <v>109</v>
      </c>
      <c r="B21" s="223" t="s">
        <v>17</v>
      </c>
      <c r="C21" s="36"/>
      <c r="D21" s="33"/>
      <c r="E21" s="39" t="s">
        <v>109</v>
      </c>
      <c r="F21" s="223" t="s">
        <v>17</v>
      </c>
      <c r="G21" s="36"/>
      <c r="H21" s="33"/>
      <c r="I21" s="51" t="s">
        <v>109</v>
      </c>
      <c r="J21" s="223" t="s">
        <v>17</v>
      </c>
      <c r="K21" s="52"/>
      <c r="L21" s="54"/>
      <c r="M21" s="150" t="s">
        <v>109</v>
      </c>
      <c r="N21" s="223" t="s">
        <v>17</v>
      </c>
      <c r="O21" s="36"/>
      <c r="P21" s="33"/>
    </row>
    <row r="22" spans="1:16" ht="33.75" customHeight="1">
      <c r="A22" s="40" t="s">
        <v>108</v>
      </c>
      <c r="B22" s="210" t="s">
        <v>188</v>
      </c>
      <c r="C22" s="37">
        <f>(vma_obj_km)/78%</f>
        <v>0.0026264245014245018</v>
      </c>
      <c r="D22" s="34">
        <f>fc_repos+(z_travail*0.76)</f>
        <v>158.8</v>
      </c>
      <c r="E22" s="40" t="s">
        <v>108</v>
      </c>
      <c r="F22" s="210" t="s">
        <v>188</v>
      </c>
      <c r="G22" s="37">
        <f>(vma_obj_km)/78%</f>
        <v>0.0026264245014245018</v>
      </c>
      <c r="H22" s="34">
        <f>fc_repos+(z_travail*0.76)</f>
        <v>158.8</v>
      </c>
      <c r="I22" s="40" t="s">
        <v>108</v>
      </c>
      <c r="J22" s="213" t="s">
        <v>229</v>
      </c>
      <c r="K22" s="37">
        <f>vma_obj_km/117%/1000*200</f>
        <v>0.0003501899335232669</v>
      </c>
      <c r="L22" s="34">
        <f>fc_repos+(z_travail*0.89)</f>
        <v>175.7</v>
      </c>
      <c r="M22" s="56" t="s">
        <v>108</v>
      </c>
      <c r="N22" s="210" t="s">
        <v>188</v>
      </c>
      <c r="O22" s="37">
        <f>(vma_obj_km)/78%</f>
        <v>0.0026264245014245018</v>
      </c>
      <c r="P22" s="34">
        <f>fc_repos+(z_travail*0.76)</f>
        <v>158.8</v>
      </c>
    </row>
    <row r="23" spans="1:16" ht="39.75" customHeight="1">
      <c r="A23" s="40" t="s">
        <v>103</v>
      </c>
      <c r="B23" s="217" t="s">
        <v>168</v>
      </c>
      <c r="C23" s="37">
        <f>(vma_obj_km)/88.5%</f>
        <v>0.002314814814814815</v>
      </c>
      <c r="D23" s="34">
        <f>fc_repos+(z_travail*0.87)</f>
        <v>173.1</v>
      </c>
      <c r="E23" s="40" t="s">
        <v>103</v>
      </c>
      <c r="F23" s="194" t="s">
        <v>235</v>
      </c>
      <c r="G23" s="37">
        <f>(vma_obj_km)/95%</f>
        <v>0.002156432748538012</v>
      </c>
      <c r="H23" s="34">
        <f>fc_repos+(z_travail*0.88)</f>
        <v>174.4</v>
      </c>
      <c r="I23" s="40" t="s">
        <v>103</v>
      </c>
      <c r="J23" s="210" t="s">
        <v>4</v>
      </c>
      <c r="K23" s="37">
        <f>(vma_obj_km)/78%</f>
        <v>0.0026264245014245018</v>
      </c>
      <c r="L23" s="34">
        <f>fc_repos+(z_travail*0.76)</f>
        <v>158.8</v>
      </c>
      <c r="M23" s="56" t="s">
        <v>103</v>
      </c>
      <c r="N23" s="194" t="s">
        <v>236</v>
      </c>
      <c r="O23" s="37">
        <f>(vma_obj_km)/100%</f>
        <v>0.0020486111111111113</v>
      </c>
      <c r="P23" s="34">
        <f>fc_repos+(z_travail*0.9)</f>
        <v>177</v>
      </c>
    </row>
    <row r="24" spans="1:16" ht="33.75" customHeight="1">
      <c r="A24" s="40" t="s">
        <v>107</v>
      </c>
      <c r="B24" s="210" t="s">
        <v>4</v>
      </c>
      <c r="C24" s="37">
        <f>(vma_obj_km)/78%</f>
        <v>0.0026264245014245018</v>
      </c>
      <c r="D24" s="34">
        <f>fc_repos+(z_travail*0.76)</f>
        <v>158.8</v>
      </c>
      <c r="E24" s="40" t="s">
        <v>107</v>
      </c>
      <c r="F24" s="210" t="s">
        <v>4</v>
      </c>
      <c r="G24" s="37">
        <f>(vma_obj_km)/78%</f>
        <v>0.0026264245014245018</v>
      </c>
      <c r="H24" s="34">
        <f>fc_repos+(z_travail*0.76)</f>
        <v>158.8</v>
      </c>
      <c r="I24" s="40" t="s">
        <v>107</v>
      </c>
      <c r="J24" s="207" t="s">
        <v>234</v>
      </c>
      <c r="K24" s="37">
        <f>(vma_obj_km)/68%</f>
        <v>0.0030126633986928106</v>
      </c>
      <c r="L24" s="34">
        <f>fc_repos+(z_travail*0.68)</f>
        <v>148.4</v>
      </c>
      <c r="M24" s="56" t="s">
        <v>107</v>
      </c>
      <c r="N24" s="210" t="s">
        <v>4</v>
      </c>
      <c r="O24" s="37">
        <f>(vma_obj_km)/78%</f>
        <v>0.0026264245014245018</v>
      </c>
      <c r="P24" s="34">
        <f>fc_repos+(z_travail*0.76)</f>
        <v>158.8</v>
      </c>
    </row>
    <row r="25" spans="1:16" ht="33.75" customHeight="1">
      <c r="A25" s="40" t="s">
        <v>104</v>
      </c>
      <c r="B25" s="224" t="s">
        <v>17</v>
      </c>
      <c r="C25" s="36"/>
      <c r="D25" s="33"/>
      <c r="E25" s="40" t="s">
        <v>104</v>
      </c>
      <c r="F25" s="224" t="s">
        <v>17</v>
      </c>
      <c r="G25" s="37"/>
      <c r="H25" s="34"/>
      <c r="I25" s="40" t="s">
        <v>104</v>
      </c>
      <c r="J25" s="224" t="s">
        <v>17</v>
      </c>
      <c r="K25" s="36"/>
      <c r="L25" s="33"/>
      <c r="M25" s="56" t="s">
        <v>104</v>
      </c>
      <c r="N25" s="224" t="s">
        <v>17</v>
      </c>
      <c r="O25" s="36"/>
      <c r="P25" s="33"/>
    </row>
    <row r="26" spans="1:16" ht="37.5" customHeight="1">
      <c r="A26" s="40" t="s">
        <v>105</v>
      </c>
      <c r="B26" s="217" t="s">
        <v>233</v>
      </c>
      <c r="C26" s="37">
        <f>(vma_obj_km)/88.5%</f>
        <v>0.002314814814814815</v>
      </c>
      <c r="D26" s="34">
        <f>fc_repos+(z_travail*0.87)</f>
        <v>173.1</v>
      </c>
      <c r="E26" s="40" t="s">
        <v>105</v>
      </c>
      <c r="F26" s="217" t="s">
        <v>137</v>
      </c>
      <c r="G26" s="37">
        <f>(vma_obj_km)/88.5%</f>
        <v>0.002314814814814815</v>
      </c>
      <c r="H26" s="34">
        <f>fc_repos+(z_travail*0.87)</f>
        <v>173.1</v>
      </c>
      <c r="I26" s="40" t="s">
        <v>105</v>
      </c>
      <c r="J26" s="205" t="s">
        <v>177</v>
      </c>
      <c r="K26" s="37">
        <f>(vma_obj_km)/68%</f>
        <v>0.0030126633986928106</v>
      </c>
      <c r="L26" s="34">
        <f>fc_repos+(z_travail*0.68)</f>
        <v>148.4</v>
      </c>
      <c r="M26" s="56" t="s">
        <v>105</v>
      </c>
      <c r="N26" s="217" t="s">
        <v>166</v>
      </c>
      <c r="O26" s="37">
        <f>(vma_obj_km)/88.5%</f>
        <v>0.002314814814814815</v>
      </c>
      <c r="P26" s="34">
        <f>fc_repos+(z_travail*0.87)</f>
        <v>173.1</v>
      </c>
    </row>
    <row r="27" spans="1:16" ht="33.75" customHeight="1" thickBot="1">
      <c r="A27" s="41" t="s">
        <v>106</v>
      </c>
      <c r="B27" s="204" t="s">
        <v>232</v>
      </c>
      <c r="C27" s="38">
        <f>(vma_obj_km)/68%</f>
        <v>0.0030126633986928106</v>
      </c>
      <c r="D27" s="35">
        <f>fc_repos+(z_travail*0.68)</f>
        <v>148.4</v>
      </c>
      <c r="E27" s="41" t="s">
        <v>106</v>
      </c>
      <c r="F27" s="204" t="s">
        <v>231</v>
      </c>
      <c r="G27" s="38">
        <f>(vma_obj_km)/68%</f>
        <v>0.0030126633986928106</v>
      </c>
      <c r="H27" s="35">
        <f>fc_repos+(z_travail*0.68)</f>
        <v>148.4</v>
      </c>
      <c r="I27" s="41" t="s">
        <v>106</v>
      </c>
      <c r="J27" s="50" t="s">
        <v>178</v>
      </c>
      <c r="K27" s="61">
        <f>vma_obj_km*10/0.885</f>
        <v>0.02314814814814815</v>
      </c>
      <c r="L27" s="49">
        <f>fc_repos+(z_travail*0.87)</f>
        <v>173.1</v>
      </c>
      <c r="M27" s="57" t="s">
        <v>106</v>
      </c>
      <c r="N27" s="204" t="s">
        <v>230</v>
      </c>
      <c r="O27" s="38">
        <f>(vma_obj_km)/68%</f>
        <v>0.0030126633986928106</v>
      </c>
      <c r="P27" s="35">
        <f>fc_repos+(z_travail*0.68)</f>
        <v>148.4</v>
      </c>
    </row>
    <row r="28" spans="4:12" ht="33.75" customHeight="1">
      <c r="D28" s="191"/>
      <c r="L28" s="191"/>
    </row>
    <row r="33" ht="33.75" customHeight="1" thickBot="1"/>
    <row r="34" spans="1:16" ht="33.75" customHeight="1" thickBot="1">
      <c r="A34" s="42"/>
      <c r="B34" s="350" t="s">
        <v>110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43"/>
      <c r="P34" s="44"/>
    </row>
    <row r="35" spans="1:16" ht="33.75" customHeight="1" thickBot="1">
      <c r="A35" s="58"/>
      <c r="B35" s="17" t="str">
        <f>"semaine du "&amp;TEXT(mdate-27,"jj/mm")&amp;" au "&amp;TEXT(mdate-21,"jj/mm")</f>
        <v>semaine du 23/02 au 01/03</v>
      </c>
      <c r="C35" s="19"/>
      <c r="D35" s="18"/>
      <c r="E35" s="58"/>
      <c r="F35" s="17" t="str">
        <f>"semaine du "&amp;TEXT(mdate-20,"jj/mm")&amp;" au "&amp;TEXT(mdate-14,"jj/mm")</f>
        <v>semaine du 02/03 au 08/03</v>
      </c>
      <c r="G35" s="19"/>
      <c r="H35" s="18"/>
      <c r="I35" s="58"/>
      <c r="J35" s="17" t="str">
        <f>"semaine du "&amp;TEXT(mdate-13,"jj/mm")&amp;" au "&amp;TEXT(mdate-7,"jj/mm")</f>
        <v>semaine du 09/03 au 15/03</v>
      </c>
      <c r="K35" s="20"/>
      <c r="L35" s="18"/>
      <c r="M35" s="58"/>
      <c r="N35" s="17" t="str">
        <f>"semaine du "&amp;TEXT(mdate-6,"jj/mm")&amp;" au "&amp;TEXT(mdate,"jj/mm")</f>
        <v>semaine du 16/03 au 22/03</v>
      </c>
      <c r="O35" s="20"/>
      <c r="P35" s="18"/>
    </row>
    <row r="36" spans="1:16" ht="33.75" customHeight="1">
      <c r="A36" s="51" t="s">
        <v>109</v>
      </c>
      <c r="B36" s="223" t="s">
        <v>17</v>
      </c>
      <c r="C36" s="52"/>
      <c r="D36" s="33"/>
      <c r="E36" s="51" t="s">
        <v>109</v>
      </c>
      <c r="F36" s="223" t="s">
        <v>17</v>
      </c>
      <c r="G36" s="52"/>
      <c r="H36" s="33"/>
      <c r="I36" s="51" t="s">
        <v>109</v>
      </c>
      <c r="J36" s="223" t="s">
        <v>17</v>
      </c>
      <c r="K36" s="52"/>
      <c r="L36" s="54"/>
      <c r="M36" s="55" t="s">
        <v>109</v>
      </c>
      <c r="N36" s="223" t="s">
        <v>17</v>
      </c>
      <c r="O36" s="52"/>
      <c r="P36" s="54"/>
    </row>
    <row r="37" spans="1:16" ht="33.75" customHeight="1">
      <c r="A37" s="40" t="s">
        <v>108</v>
      </c>
      <c r="B37" s="211" t="s">
        <v>239</v>
      </c>
      <c r="C37" s="37">
        <f>(vma_obj_km)/68%</f>
        <v>0.0030126633986928106</v>
      </c>
      <c r="D37" s="34">
        <f>fc_repos+(z_travail*0.68)</f>
        <v>148.4</v>
      </c>
      <c r="E37" s="40" t="s">
        <v>108</v>
      </c>
      <c r="F37" s="210" t="s">
        <v>189</v>
      </c>
      <c r="G37" s="37">
        <f>(vma_obj_km)/78%</f>
        <v>0.0026264245014245018</v>
      </c>
      <c r="H37" s="34">
        <f>fc_repos+(z_travail*0.76)</f>
        <v>158.8</v>
      </c>
      <c r="I37" s="40" t="s">
        <v>108</v>
      </c>
      <c r="J37" s="217" t="s">
        <v>141</v>
      </c>
      <c r="K37" s="37">
        <f>(vma_obj_km)/88.5%</f>
        <v>0.002314814814814815</v>
      </c>
      <c r="L37" s="34">
        <f>fc_repos+(z_travail*0.87)</f>
        <v>173.1</v>
      </c>
      <c r="M37" s="56" t="s">
        <v>108</v>
      </c>
      <c r="N37" s="211" t="s">
        <v>240</v>
      </c>
      <c r="O37" s="37">
        <f>(vma_obj_km)/68%</f>
        <v>0.0030126633986928106</v>
      </c>
      <c r="P37" s="34">
        <f>fc_repos+(z_travail*0.68)</f>
        <v>148.4</v>
      </c>
    </row>
    <row r="38" spans="1:16" ht="39" customHeight="1">
      <c r="A38" s="40" t="s">
        <v>103</v>
      </c>
      <c r="B38" s="219" t="s">
        <v>244</v>
      </c>
      <c r="C38" s="37">
        <f>(vma_obj_km)/88.5%</f>
        <v>0.002314814814814815</v>
      </c>
      <c r="D38" s="34">
        <f>fc_repos+(z_travail*0.87)</f>
        <v>173.1</v>
      </c>
      <c r="E38" s="40" t="s">
        <v>103</v>
      </c>
      <c r="F38" s="213" t="s">
        <v>175</v>
      </c>
      <c r="G38" s="37">
        <f>vma_obj_km/117%/1000*200</f>
        <v>0.0003501899335232669</v>
      </c>
      <c r="H38" s="34">
        <f>fc_repos+(z_travail*0.88)</f>
        <v>174.4</v>
      </c>
      <c r="I38" s="40" t="s">
        <v>103</v>
      </c>
      <c r="J38" s="218" t="s">
        <v>132</v>
      </c>
      <c r="K38" s="37">
        <f>(vma_obj_km)/95%</f>
        <v>0.002156432748538012</v>
      </c>
      <c r="L38" s="34">
        <f>fc_repos+(z_travail*0.88)</f>
        <v>174.4</v>
      </c>
      <c r="M38" s="56" t="s">
        <v>103</v>
      </c>
      <c r="N38" s="214" t="s">
        <v>140</v>
      </c>
      <c r="O38" s="37">
        <f>vma_obj_km/117%/1000*200</f>
        <v>0.0003501899335232669</v>
      </c>
      <c r="P38" s="34">
        <f>fc_repos+(z_travail*0.92)</f>
        <v>179.60000000000002</v>
      </c>
    </row>
    <row r="39" spans="1:16" ht="33.75" customHeight="1">
      <c r="A39" s="40" t="s">
        <v>107</v>
      </c>
      <c r="B39" s="210" t="s">
        <v>4</v>
      </c>
      <c r="C39" s="37">
        <f>(vma_obj_km)/78%</f>
        <v>0.0026264245014245018</v>
      </c>
      <c r="D39" s="34">
        <f>fc_repos+(z_travail*0.76)</f>
        <v>158.8</v>
      </c>
      <c r="E39" s="40" t="s">
        <v>107</v>
      </c>
      <c r="F39" s="210" t="s">
        <v>4</v>
      </c>
      <c r="G39" s="37">
        <f>(vma_obj_km)/78%</f>
        <v>0.0026264245014245018</v>
      </c>
      <c r="H39" s="34">
        <f>fc_repos+(z_travail*0.76)</f>
        <v>158.8</v>
      </c>
      <c r="I39" s="40" t="s">
        <v>107</v>
      </c>
      <c r="J39" s="210" t="s">
        <v>4</v>
      </c>
      <c r="K39" s="37">
        <f>(vma_obj_km)/78%</f>
        <v>0.0026264245014245018</v>
      </c>
      <c r="L39" s="34">
        <f>fc_repos+(z_travail*0.76)</f>
        <v>158.8</v>
      </c>
      <c r="M39" s="56" t="s">
        <v>107</v>
      </c>
      <c r="N39" s="211" t="s">
        <v>241</v>
      </c>
      <c r="O39" s="37">
        <f>(vma_obj_km)/68%</f>
        <v>0.0030126633986928106</v>
      </c>
      <c r="P39" s="34">
        <f>fc_repos+(z_travail*0.68)</f>
        <v>148.4</v>
      </c>
    </row>
    <row r="40" spans="1:16" ht="33.75" customHeight="1">
      <c r="A40" s="40" t="s">
        <v>104</v>
      </c>
      <c r="B40" s="224" t="s">
        <v>17</v>
      </c>
      <c r="C40" s="37"/>
      <c r="D40" s="34"/>
      <c r="E40" s="40" t="s">
        <v>104</v>
      </c>
      <c r="F40" s="224" t="s">
        <v>17</v>
      </c>
      <c r="G40" s="37"/>
      <c r="H40" s="34"/>
      <c r="I40" s="40" t="s">
        <v>104</v>
      </c>
      <c r="J40" s="224" t="s">
        <v>17</v>
      </c>
      <c r="K40" s="37"/>
      <c r="L40" s="34"/>
      <c r="M40" s="56" t="s">
        <v>104</v>
      </c>
      <c r="N40" s="225" t="s">
        <v>17</v>
      </c>
      <c r="O40" s="37"/>
      <c r="P40" s="34"/>
    </row>
    <row r="41" spans="1:16" ht="37.5" customHeight="1">
      <c r="A41" s="40" t="s">
        <v>105</v>
      </c>
      <c r="B41" s="205" t="s">
        <v>177</v>
      </c>
      <c r="C41" s="37">
        <f>(vma_obj_km)/68%</f>
        <v>0.0030126633986928106</v>
      </c>
      <c r="D41" s="34">
        <f>fc_repos+(z_travail*0.68)</f>
        <v>148.4</v>
      </c>
      <c r="E41" s="40" t="s">
        <v>105</v>
      </c>
      <c r="F41" s="217" t="s">
        <v>152</v>
      </c>
      <c r="G41" s="37">
        <f>(vma_obj_km)/88.5%</f>
        <v>0.002314814814814815</v>
      </c>
      <c r="H41" s="34">
        <f>fc_repos+(z_travail*0.87)</f>
        <v>173.1</v>
      </c>
      <c r="I41" s="40" t="s">
        <v>105</v>
      </c>
      <c r="J41" s="217" t="s">
        <v>153</v>
      </c>
      <c r="K41" s="37">
        <f>(vma_obj_km)/88.5%</f>
        <v>0.002314814814814815</v>
      </c>
      <c r="L41" s="34">
        <f>fc_repos+(z_travail*0.87)</f>
        <v>173.1</v>
      </c>
      <c r="M41" s="56" t="s">
        <v>105</v>
      </c>
      <c r="N41" s="205" t="s">
        <v>177</v>
      </c>
      <c r="O41" s="37">
        <f>(vma_obj_km)/68%</f>
        <v>0.0030126633986928106</v>
      </c>
      <c r="P41" s="34">
        <f>fc_repos+(z_travail*0.68)</f>
        <v>148.4</v>
      </c>
    </row>
    <row r="42" spans="1:16" ht="33.75" customHeight="1" thickBot="1">
      <c r="A42" s="41" t="s">
        <v>106</v>
      </c>
      <c r="B42" s="50" t="s">
        <v>167</v>
      </c>
      <c r="C42" s="61">
        <f>vma_obj_km*15/0.885</f>
        <v>0.034722222222222224</v>
      </c>
      <c r="D42" s="49">
        <f>fc_repos+(z_travail*0.87)</f>
        <v>173.1</v>
      </c>
      <c r="E42" s="41" t="s">
        <v>106</v>
      </c>
      <c r="F42" s="204" t="s">
        <v>243</v>
      </c>
      <c r="G42" s="38">
        <f>(vma_obj_km)/68%</f>
        <v>0.0030126633986928106</v>
      </c>
      <c r="H42" s="35">
        <f>fc_repos+(z_travail*0.68)</f>
        <v>148.4</v>
      </c>
      <c r="I42" s="41" t="s">
        <v>106</v>
      </c>
      <c r="J42" s="204" t="s">
        <v>242</v>
      </c>
      <c r="K42" s="38">
        <f>(vma_obj_km)/68%</f>
        <v>0.0030126633986928106</v>
      </c>
      <c r="L42" s="35">
        <f>fc_repos+(z_travail*0.68)</f>
        <v>148.4</v>
      </c>
      <c r="M42" s="57" t="s">
        <v>106</v>
      </c>
      <c r="N42" s="65" t="s">
        <v>154</v>
      </c>
      <c r="O42" s="48">
        <f>objectif</f>
        <v>0.04708333333333333</v>
      </c>
      <c r="P42" s="49">
        <f>fc_repos+(z_travail*0.87)</f>
        <v>173.1</v>
      </c>
    </row>
    <row r="43" ht="33.75" customHeight="1">
      <c r="L43" s="191"/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ignoredErrors>
    <ignoredError sqref="G38:H38 O23:P23 G8:H8 C8:D8 K8:L8 O8:P8 C23:D23 G23:H23 O38:P3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4:Q43"/>
  <sheetViews>
    <sheetView workbookViewId="0" topLeftCell="A28">
      <selection activeCell="J29" sqref="J29"/>
    </sheetView>
  </sheetViews>
  <sheetFormatPr defaultColWidth="11.421875" defaultRowHeight="33.75" customHeight="1"/>
  <cols>
    <col min="1" max="1" width="6.7109375" style="0" customWidth="1"/>
    <col min="2" max="2" width="17.7109375" style="14" customWidth="1"/>
    <col min="3" max="3" width="7.7109375" style="0" customWidth="1"/>
    <col min="4" max="4" width="3.71093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7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8515625" style="15" bestFit="1" customWidth="1"/>
  </cols>
  <sheetData>
    <row r="3" ht="33.75" customHeight="1" thickBot="1"/>
    <row r="4" spans="1:16" ht="33.75" customHeight="1" thickBot="1">
      <c r="A4" s="42"/>
      <c r="B4" s="350" t="s">
        <v>20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43"/>
      <c r="P4" s="44"/>
    </row>
    <row r="5" spans="1:16" ht="33.75" customHeight="1" thickBot="1">
      <c r="A5" s="29"/>
      <c r="B5" s="30" t="str">
        <f>"semaine du "&amp;TEXT(mdate-83,"jj/mm")&amp;" au "&amp;TEXT(mdate-77,"jj/mm")</f>
        <v>semaine du 29/12 au 04/01</v>
      </c>
      <c r="C5" s="30" t="s">
        <v>81</v>
      </c>
      <c r="D5" s="31" t="s">
        <v>16</v>
      </c>
      <c r="E5" s="29"/>
      <c r="F5" s="30" t="str">
        <f>"semaine du "&amp;TEXT(mdate-76,"jj/mm")&amp;" au "&amp;TEXT(mdate-70,"jj/mm")</f>
        <v>semaine du 05/01 au 11/01</v>
      </c>
      <c r="G5" s="32" t="s">
        <v>81</v>
      </c>
      <c r="H5" s="31" t="s">
        <v>16</v>
      </c>
      <c r="I5" s="29"/>
      <c r="J5" s="30" t="str">
        <f>"semaine du "&amp;TEXT(mdate-69,"jj/mm")&amp;" au "&amp;TEXT(mdate-63,"jj/mm")</f>
        <v>semaine du 12/01 au 18/01</v>
      </c>
      <c r="K5" s="30" t="s">
        <v>81</v>
      </c>
      <c r="L5" s="31" t="s">
        <v>16</v>
      </c>
      <c r="M5" s="29"/>
      <c r="N5" s="30" t="str">
        <f>"semaine du "&amp;TEXT(mdate-62,"jj/mm")&amp;" au "&amp;TEXT(mdate-56,"jj/mm")</f>
        <v>semaine du 19/01 au 25/01</v>
      </c>
      <c r="O5" s="30" t="s">
        <v>81</v>
      </c>
      <c r="P5" s="31" t="s">
        <v>16</v>
      </c>
    </row>
    <row r="6" spans="1:16" ht="33.75" customHeight="1">
      <c r="A6" s="39" t="s">
        <v>109</v>
      </c>
      <c r="B6" s="224" t="s">
        <v>17</v>
      </c>
      <c r="C6" s="36"/>
      <c r="D6" s="33"/>
      <c r="E6" s="39" t="s">
        <v>109</v>
      </c>
      <c r="F6" s="223" t="s">
        <v>17</v>
      </c>
      <c r="G6" s="36"/>
      <c r="H6" s="33"/>
      <c r="I6" s="39" t="s">
        <v>109</v>
      </c>
      <c r="J6" s="223" t="s">
        <v>17</v>
      </c>
      <c r="K6" s="36"/>
      <c r="L6" s="34"/>
      <c r="M6" s="39" t="s">
        <v>109</v>
      </c>
      <c r="N6" s="223" t="s">
        <v>17</v>
      </c>
      <c r="O6" s="36"/>
      <c r="P6" s="33"/>
    </row>
    <row r="7" spans="1:16" ht="39.75" customHeight="1">
      <c r="A7" s="40" t="s">
        <v>108</v>
      </c>
      <c r="B7" s="210" t="s">
        <v>135</v>
      </c>
      <c r="C7" s="37">
        <f>(vma_obj_km)/78%</f>
        <v>0.0026264245014245018</v>
      </c>
      <c r="D7" s="34">
        <f>fc_repos+(z_travail*0.76)</f>
        <v>158.8</v>
      </c>
      <c r="E7" s="40" t="s">
        <v>108</v>
      </c>
      <c r="F7" s="45" t="s">
        <v>174</v>
      </c>
      <c r="G7" s="37">
        <f>(vma_obj_km)/100%</f>
        <v>0.0020486111111111113</v>
      </c>
      <c r="H7" s="34">
        <f>fc_repos+(z_travail*0.9)</f>
        <v>177</v>
      </c>
      <c r="I7" s="40" t="s">
        <v>108</v>
      </c>
      <c r="J7" s="213" t="s">
        <v>261</v>
      </c>
      <c r="K7" s="37">
        <f>vma_obj_km/114%/1000*300</f>
        <v>0.000539108187134503</v>
      </c>
      <c r="L7" s="34">
        <f>fc_repos+(z_travail*0.92)</f>
        <v>179.60000000000002</v>
      </c>
      <c r="M7" s="40" t="s">
        <v>108</v>
      </c>
      <c r="N7" s="45" t="s">
        <v>173</v>
      </c>
      <c r="O7" s="37">
        <f>(vma_obj_km)/100%</f>
        <v>0.0020486111111111113</v>
      </c>
      <c r="P7" s="34">
        <f>fc_repos+(z_travail*0.9)</f>
        <v>177</v>
      </c>
    </row>
    <row r="8" spans="1:16" ht="33.75" customHeight="1">
      <c r="A8" s="40" t="s">
        <v>103</v>
      </c>
      <c r="B8" s="224" t="s">
        <v>17</v>
      </c>
      <c r="C8" s="47"/>
      <c r="D8" s="34"/>
      <c r="E8" s="40" t="s">
        <v>103</v>
      </c>
      <c r="F8" s="224" t="s">
        <v>17</v>
      </c>
      <c r="G8" s="37"/>
      <c r="H8" s="34"/>
      <c r="I8" s="40" t="s">
        <v>103</v>
      </c>
      <c r="J8" s="224" t="s">
        <v>17</v>
      </c>
      <c r="K8" s="47"/>
      <c r="L8" s="34"/>
      <c r="M8" s="40" t="s">
        <v>103</v>
      </c>
      <c r="N8" s="224" t="s">
        <v>17</v>
      </c>
      <c r="O8" s="36"/>
      <c r="P8" s="33"/>
    </row>
    <row r="9" spans="1:16" ht="33.75" customHeight="1">
      <c r="A9" s="40" t="s">
        <v>107</v>
      </c>
      <c r="B9" s="210" t="s">
        <v>4</v>
      </c>
      <c r="C9" s="37">
        <f>(vma_obj_km)/78%</f>
        <v>0.0026264245014245018</v>
      </c>
      <c r="D9" s="34">
        <f>fc_repos+(z_travail*0.76)</f>
        <v>158.8</v>
      </c>
      <c r="E9" s="40" t="s">
        <v>107</v>
      </c>
      <c r="F9" s="210" t="s">
        <v>4</v>
      </c>
      <c r="G9" s="37">
        <f>(vma_obj_km)/78%</f>
        <v>0.0026264245014245018</v>
      </c>
      <c r="H9" s="34">
        <f>fc_repos+(z_travail*0.76)</f>
        <v>158.8</v>
      </c>
      <c r="I9" s="40" t="s">
        <v>107</v>
      </c>
      <c r="J9" s="210" t="s">
        <v>4</v>
      </c>
      <c r="K9" s="37">
        <f>(vma_obj_km)/78%</f>
        <v>0.0026264245014245018</v>
      </c>
      <c r="L9" s="34">
        <f>fc_repos+(z_travail*0.76)</f>
        <v>158.8</v>
      </c>
      <c r="M9" s="40" t="s">
        <v>107</v>
      </c>
      <c r="N9" s="210" t="s">
        <v>188</v>
      </c>
      <c r="O9" s="37">
        <f>(vma_obj_km)/78%</f>
        <v>0.0026264245014245018</v>
      </c>
      <c r="P9" s="34">
        <f>fc_repos+(z_travail*0.76)</f>
        <v>158.8</v>
      </c>
    </row>
    <row r="10" spans="1:16" ht="33.75" customHeight="1">
      <c r="A10" s="40" t="s">
        <v>104</v>
      </c>
      <c r="B10" s="224" t="s">
        <v>17</v>
      </c>
      <c r="C10" s="37"/>
      <c r="D10" s="34"/>
      <c r="E10" s="40" t="s">
        <v>104</v>
      </c>
      <c r="F10" s="224" t="s">
        <v>17</v>
      </c>
      <c r="G10" s="37"/>
      <c r="H10" s="34"/>
      <c r="I10" s="40" t="s">
        <v>104</v>
      </c>
      <c r="J10" s="224" t="s">
        <v>17</v>
      </c>
      <c r="K10" s="37"/>
      <c r="L10" s="34"/>
      <c r="M10" s="40" t="s">
        <v>104</v>
      </c>
      <c r="N10" s="224" t="s">
        <v>17</v>
      </c>
      <c r="O10" s="37"/>
      <c r="P10" s="34"/>
    </row>
    <row r="11" spans="1:16" ht="39" customHeight="1">
      <c r="A11" s="40" t="s">
        <v>105</v>
      </c>
      <c r="B11" s="213" t="s">
        <v>260</v>
      </c>
      <c r="C11" s="37">
        <f>vma_obj_km/117%/1000*200</f>
        <v>0.0003501899335232669</v>
      </c>
      <c r="D11" s="34">
        <f>fc_repos+(z_travail*0.93)</f>
        <v>180.9</v>
      </c>
      <c r="E11" s="40" t="s">
        <v>105</v>
      </c>
      <c r="F11" s="217" t="s">
        <v>211</v>
      </c>
      <c r="G11" s="37">
        <f>(vma_obj_km)/88.5%</f>
        <v>0.002314814814814815</v>
      </c>
      <c r="H11" s="34">
        <f>fc_repos+(z_travail*0.87)</f>
        <v>173.1</v>
      </c>
      <c r="I11" s="40" t="s">
        <v>105</v>
      </c>
      <c r="J11" s="217" t="s">
        <v>212</v>
      </c>
      <c r="K11" s="37">
        <f>(vma_obj_km)/88.5%</f>
        <v>0.002314814814814815</v>
      </c>
      <c r="L11" s="34">
        <f>fc_repos+(z_travail*0.87)</f>
        <v>173.1</v>
      </c>
      <c r="M11" s="40" t="s">
        <v>105</v>
      </c>
      <c r="N11" s="217" t="s">
        <v>169</v>
      </c>
      <c r="O11" s="37">
        <f>(vma_obj_km)/88.5%</f>
        <v>0.002314814814814815</v>
      </c>
      <c r="P11" s="34">
        <f>fc_repos+(z_travail*0.87)</f>
        <v>173.1</v>
      </c>
    </row>
    <row r="12" spans="1:16" ht="33.75" customHeight="1" thickBot="1">
      <c r="A12" s="41" t="s">
        <v>106</v>
      </c>
      <c r="B12" s="204" t="s">
        <v>257</v>
      </c>
      <c r="C12" s="38">
        <f>(vma_obj_km)/68%</f>
        <v>0.0030126633986928106</v>
      </c>
      <c r="D12" s="35">
        <f>fc_repos+(z_travail*0.68)</f>
        <v>148.4</v>
      </c>
      <c r="E12" s="41" t="s">
        <v>106</v>
      </c>
      <c r="F12" s="204" t="s">
        <v>258</v>
      </c>
      <c r="G12" s="38">
        <f>(vma_obj_km)/68%</f>
        <v>0.0030126633986928106</v>
      </c>
      <c r="H12" s="35">
        <f>fc_repos+(z_travail*0.68)</f>
        <v>148.4</v>
      </c>
      <c r="I12" s="41" t="s">
        <v>106</v>
      </c>
      <c r="J12" s="204" t="s">
        <v>209</v>
      </c>
      <c r="K12" s="38">
        <f>(vma_obj_km)/68%</f>
        <v>0.0030126633986928106</v>
      </c>
      <c r="L12" s="35">
        <f>fc_repos+(z_travail*0.68)</f>
        <v>148.4</v>
      </c>
      <c r="M12" s="41" t="s">
        <v>106</v>
      </c>
      <c r="N12" s="204" t="s">
        <v>210</v>
      </c>
      <c r="O12" s="38">
        <f>(vma_obj_km)/68%</f>
        <v>0.0030126633986928106</v>
      </c>
      <c r="P12" s="35">
        <f>fc_repos+(z_travail*0.68)</f>
        <v>148.4</v>
      </c>
    </row>
    <row r="13" spans="4:16" ht="33.75" customHeight="1">
      <c r="D13" s="191"/>
      <c r="L13" s="191"/>
      <c r="P13" s="191"/>
    </row>
    <row r="18" ht="33.75" customHeight="1" thickBot="1"/>
    <row r="19" spans="1:16" ht="33.75" customHeight="1" thickBot="1">
      <c r="A19" s="42"/>
      <c r="B19" s="350" t="s">
        <v>21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43"/>
      <c r="P19" s="44"/>
    </row>
    <row r="20" spans="1:16" ht="33.75" customHeight="1" thickBot="1">
      <c r="A20" s="29"/>
      <c r="B20" s="17" t="str">
        <f>"semaine du "&amp;TEXT(mdate-55,"jj/mm")&amp;" au "&amp;TEXT(mdate-49,"jj/mm")</f>
        <v>semaine du 26/01 au 01/02</v>
      </c>
      <c r="C20" s="19"/>
      <c r="D20" s="18"/>
      <c r="E20" s="29"/>
      <c r="F20" s="17" t="str">
        <f>"semaine du "&amp;TEXT(mdate-48,"jj/mm")&amp;" au "&amp;TEXT(mdate-42,"jj/mm")</f>
        <v>semaine du 02/02 au 08/02</v>
      </c>
      <c r="G20" s="19"/>
      <c r="H20" s="18"/>
      <c r="I20" s="29"/>
      <c r="J20" s="17" t="str">
        <f>"semaine du "&amp;TEXT(mdate-41,"jj/mm")&amp;" au "&amp;TEXT(mdate-35,"jj/mm")</f>
        <v>semaine du 09/02 au 15/02</v>
      </c>
      <c r="K20" s="20"/>
      <c r="L20" s="18"/>
      <c r="M20" s="29"/>
      <c r="N20" s="17" t="str">
        <f>"semaine du "&amp;TEXT(mdate-34,"jj/mm")&amp;" au "&amp;TEXT(mdate-28,"jj/mm")</f>
        <v>semaine du 16/02 au 22/02</v>
      </c>
      <c r="O20" s="20"/>
      <c r="P20" s="18"/>
    </row>
    <row r="21" spans="1:16" ht="33.75" customHeight="1">
      <c r="A21" s="51" t="s">
        <v>109</v>
      </c>
      <c r="B21" s="223" t="s">
        <v>17</v>
      </c>
      <c r="C21" s="52"/>
      <c r="D21" s="54"/>
      <c r="E21" s="51" t="s">
        <v>109</v>
      </c>
      <c r="F21" s="223" t="s">
        <v>17</v>
      </c>
      <c r="G21" s="52"/>
      <c r="H21" s="54"/>
      <c r="I21" s="51" t="s">
        <v>109</v>
      </c>
      <c r="J21" s="223" t="s">
        <v>17</v>
      </c>
      <c r="K21" s="52"/>
      <c r="L21" s="54"/>
      <c r="M21" s="51" t="s">
        <v>109</v>
      </c>
      <c r="N21" s="223" t="s">
        <v>17</v>
      </c>
      <c r="O21" s="52"/>
      <c r="P21" s="54"/>
    </row>
    <row r="22" spans="1:16" ht="37.5" customHeight="1">
      <c r="A22" s="40" t="s">
        <v>108</v>
      </c>
      <c r="B22" s="45" t="s">
        <v>172</v>
      </c>
      <c r="C22" s="37">
        <f>(vma_obj_km)/95%</f>
        <v>0.002156432748538012</v>
      </c>
      <c r="D22" s="34">
        <f>fc_repos+(z_travail*0.88)</f>
        <v>174.4</v>
      </c>
      <c r="E22" s="40" t="s">
        <v>108</v>
      </c>
      <c r="F22" s="213" t="s">
        <v>176</v>
      </c>
      <c r="G22" s="37">
        <f>vma_obj_km/98%/1000*900</f>
        <v>0.0018813775510204084</v>
      </c>
      <c r="H22" s="34">
        <f>fc_repos+(z_travail*0.89)</f>
        <v>175.7</v>
      </c>
      <c r="I22" s="40" t="s">
        <v>108</v>
      </c>
      <c r="J22" s="217" t="s">
        <v>168</v>
      </c>
      <c r="K22" s="37">
        <f>(vma_obj_km)/88.5%</f>
        <v>0.002314814814814815</v>
      </c>
      <c r="L22" s="34">
        <f>fc_repos+(z_travail*0.87)</f>
        <v>173.1</v>
      </c>
      <c r="M22" s="40" t="s">
        <v>108</v>
      </c>
      <c r="N22" s="45" t="s">
        <v>171</v>
      </c>
      <c r="O22" s="37">
        <f>(vma_obj_km)/100%</f>
        <v>0.0020486111111111113</v>
      </c>
      <c r="P22" s="34">
        <f>fc_repos+(z_travail*0.9)</f>
        <v>177</v>
      </c>
    </row>
    <row r="23" spans="1:16" ht="33.75" customHeight="1">
      <c r="A23" s="40" t="s">
        <v>103</v>
      </c>
      <c r="B23" s="224" t="s">
        <v>17</v>
      </c>
      <c r="C23" s="47"/>
      <c r="D23" s="34"/>
      <c r="E23" s="40" t="s">
        <v>103</v>
      </c>
      <c r="F23" s="224" t="s">
        <v>17</v>
      </c>
      <c r="G23" s="36"/>
      <c r="H23" s="33"/>
      <c r="I23" s="40" t="s">
        <v>103</v>
      </c>
      <c r="J23" s="224" t="s">
        <v>17</v>
      </c>
      <c r="K23" s="47"/>
      <c r="L23" s="34"/>
      <c r="M23" s="40" t="s">
        <v>103</v>
      </c>
      <c r="N23" s="224" t="s">
        <v>17</v>
      </c>
      <c r="O23" s="37"/>
      <c r="P23" s="34"/>
    </row>
    <row r="24" spans="1:16" ht="33.75" customHeight="1">
      <c r="A24" s="40" t="s">
        <v>107</v>
      </c>
      <c r="B24" s="210" t="s">
        <v>188</v>
      </c>
      <c r="C24" s="37">
        <f>(vma_obj_km)/78%</f>
        <v>0.0026264245014245018</v>
      </c>
      <c r="D24" s="34">
        <f>fc_repos+(z_travail*0.76)</f>
        <v>158.8</v>
      </c>
      <c r="E24" s="40" t="s">
        <v>107</v>
      </c>
      <c r="F24" s="210" t="s">
        <v>4</v>
      </c>
      <c r="G24" s="37">
        <f>(vma_obj_km)/78%</f>
        <v>0.0026264245014245018</v>
      </c>
      <c r="H24" s="34">
        <f>fc_repos+(z_travail*0.76)</f>
        <v>158.8</v>
      </c>
      <c r="I24" s="40" t="s">
        <v>107</v>
      </c>
      <c r="J24" s="206" t="s">
        <v>190</v>
      </c>
      <c r="K24" s="37">
        <f>(vma_obj_km)/68%</f>
        <v>0.0030126633986928106</v>
      </c>
      <c r="L24" s="34">
        <f>fc_repos+(z_travail*0.68)</f>
        <v>148.4</v>
      </c>
      <c r="M24" s="40" t="s">
        <v>107</v>
      </c>
      <c r="N24" s="210" t="s">
        <v>188</v>
      </c>
      <c r="O24" s="37">
        <f>(vma_obj_km)/78%</f>
        <v>0.0026264245014245018</v>
      </c>
      <c r="P24" s="34">
        <f>fc_repos+(z_travail*0.76)</f>
        <v>158.8</v>
      </c>
    </row>
    <row r="25" spans="1:16" ht="33.75" customHeight="1">
      <c r="A25" s="40" t="s">
        <v>104</v>
      </c>
      <c r="B25" s="224" t="s">
        <v>17</v>
      </c>
      <c r="C25" s="37"/>
      <c r="D25" s="34"/>
      <c r="E25" s="40" t="s">
        <v>104</v>
      </c>
      <c r="F25" s="224" t="s">
        <v>17</v>
      </c>
      <c r="G25" s="37"/>
      <c r="H25" s="34"/>
      <c r="I25" s="40" t="s">
        <v>104</v>
      </c>
      <c r="J25" s="224" t="s">
        <v>17</v>
      </c>
      <c r="K25" s="37"/>
      <c r="L25" s="34"/>
      <c r="M25" s="40" t="s">
        <v>104</v>
      </c>
      <c r="N25" s="224" t="s">
        <v>17</v>
      </c>
      <c r="O25" s="36"/>
      <c r="P25" s="33"/>
    </row>
    <row r="26" spans="1:16" ht="39" customHeight="1">
      <c r="A26" s="40" t="s">
        <v>105</v>
      </c>
      <c r="B26" s="217" t="s">
        <v>216</v>
      </c>
      <c r="C26" s="37">
        <f>(vma_obj_km)/88.5%</f>
        <v>0.002314814814814815</v>
      </c>
      <c r="D26" s="34">
        <f>fc_repos+(z_travail*0.87)</f>
        <v>173.1</v>
      </c>
      <c r="E26" s="40" t="s">
        <v>105</v>
      </c>
      <c r="F26" s="217" t="s">
        <v>137</v>
      </c>
      <c r="G26" s="37">
        <f>(vma_obj_km)/88.5%</f>
        <v>0.002314814814814815</v>
      </c>
      <c r="H26" s="34">
        <f>fc_repos+(z_travail*0.87)</f>
        <v>173.1</v>
      </c>
      <c r="I26" s="40" t="s">
        <v>105</v>
      </c>
      <c r="J26" s="205" t="s">
        <v>177</v>
      </c>
      <c r="K26" s="37">
        <f>(vma_obj_km)/68%</f>
        <v>0.0030126633986928106</v>
      </c>
      <c r="L26" s="34">
        <f>fc_repos+(z_travail*0.68)</f>
        <v>148.4</v>
      </c>
      <c r="M26" s="40" t="s">
        <v>105</v>
      </c>
      <c r="N26" s="217" t="s">
        <v>166</v>
      </c>
      <c r="O26" s="37">
        <f>(vma_obj_km)/88.5%</f>
        <v>0.002314814814814815</v>
      </c>
      <c r="P26" s="34">
        <f>fc_repos+(z_travail*0.87)</f>
        <v>173.1</v>
      </c>
    </row>
    <row r="27" spans="1:16" ht="33.75" customHeight="1" thickBot="1">
      <c r="A27" s="41" t="s">
        <v>106</v>
      </c>
      <c r="B27" s="204" t="s">
        <v>213</v>
      </c>
      <c r="C27" s="38">
        <f>(vma_obj_km)/68%</f>
        <v>0.0030126633986928106</v>
      </c>
      <c r="D27" s="35">
        <f>fc_repos+(z_travail*0.68)</f>
        <v>148.4</v>
      </c>
      <c r="E27" s="41" t="s">
        <v>106</v>
      </c>
      <c r="F27" s="204" t="s">
        <v>214</v>
      </c>
      <c r="G27" s="38">
        <f>(vma_obj_km)/68%</f>
        <v>0.0030126633986928106</v>
      </c>
      <c r="H27" s="35">
        <f>fc_repos+(z_travail*0.68)</f>
        <v>148.4</v>
      </c>
      <c r="I27" s="41" t="s">
        <v>106</v>
      </c>
      <c r="J27" s="50" t="s">
        <v>178</v>
      </c>
      <c r="K27" s="61">
        <f>vma_obj_km*10/0.885</f>
        <v>0.02314814814814815</v>
      </c>
      <c r="L27" s="49">
        <f>fc_repos+(z_travail*0.87)</f>
        <v>173.1</v>
      </c>
      <c r="M27" s="41" t="s">
        <v>106</v>
      </c>
      <c r="N27" s="204" t="s">
        <v>215</v>
      </c>
      <c r="O27" s="38">
        <f>(vma_obj_km)/68%</f>
        <v>0.0030126633986928106</v>
      </c>
      <c r="P27" s="35">
        <f>fc_repos+(z_travail*0.68)</f>
        <v>148.4</v>
      </c>
    </row>
    <row r="28" spans="1:16" ht="33.75" customHeight="1">
      <c r="A28" s="21"/>
      <c r="B28" s="21"/>
      <c r="C28" s="22"/>
      <c r="D28" s="23"/>
      <c r="E28" s="21"/>
      <c r="F28" s="21"/>
      <c r="G28" s="24"/>
      <c r="H28" s="23"/>
      <c r="I28" s="21"/>
      <c r="J28" s="25"/>
      <c r="K28" s="24"/>
      <c r="L28" s="23"/>
      <c r="M28" s="21"/>
      <c r="P28" s="191"/>
    </row>
    <row r="29" spans="1:13" ht="33.75" customHeight="1">
      <c r="A29" s="21"/>
      <c r="B29" s="21"/>
      <c r="C29" s="22"/>
      <c r="D29" s="23"/>
      <c r="E29" s="21"/>
      <c r="F29" s="21"/>
      <c r="G29" s="24"/>
      <c r="H29" s="23"/>
      <c r="I29" s="21"/>
      <c r="J29" s="25"/>
      <c r="K29" s="24"/>
      <c r="L29" s="23"/>
      <c r="M29" s="21"/>
    </row>
    <row r="30" spans="1:13" ht="33.75" customHeight="1">
      <c r="A30" s="21"/>
      <c r="B30" s="21"/>
      <c r="C30" s="22"/>
      <c r="D30" s="23"/>
      <c r="E30" s="21"/>
      <c r="F30" s="21"/>
      <c r="G30" s="24"/>
      <c r="H30" s="23"/>
      <c r="I30" s="21"/>
      <c r="J30" s="25"/>
      <c r="K30" s="24"/>
      <c r="L30" s="23"/>
      <c r="M30" s="21"/>
    </row>
    <row r="31" spans="1:13" ht="33.75" customHeight="1">
      <c r="A31" s="21"/>
      <c r="B31" s="21"/>
      <c r="C31" s="22"/>
      <c r="D31" s="23"/>
      <c r="E31" s="21"/>
      <c r="F31" s="21"/>
      <c r="G31" s="24"/>
      <c r="H31" s="23"/>
      <c r="I31" s="21"/>
      <c r="J31" s="25"/>
      <c r="K31" s="24"/>
      <c r="L31" s="23"/>
      <c r="M31" s="21"/>
    </row>
    <row r="32" spans="1:13" ht="33.75" customHeight="1">
      <c r="A32" s="21"/>
      <c r="B32" s="21"/>
      <c r="C32" s="22"/>
      <c r="D32" s="23"/>
      <c r="E32" s="21"/>
      <c r="F32" s="21"/>
      <c r="G32" s="24"/>
      <c r="H32" s="23"/>
      <c r="I32" s="21"/>
      <c r="J32" s="25"/>
      <c r="K32" s="24"/>
      <c r="L32" s="23"/>
      <c r="M32" s="21"/>
    </row>
    <row r="33" ht="33.75" customHeight="1" thickBot="1"/>
    <row r="34" spans="1:16" ht="33.75" customHeight="1" thickBot="1">
      <c r="A34" s="42"/>
      <c r="B34" s="350" t="s">
        <v>110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43"/>
      <c r="P34" s="44"/>
    </row>
    <row r="35" spans="1:16" ht="33.75" customHeight="1" thickBot="1">
      <c r="A35" s="29"/>
      <c r="B35" s="30" t="str">
        <f>"semaine du "&amp;TEXT(mdate-27,"jj/mm")&amp;" au "&amp;TEXT(mdate-21,"jj/mm")</f>
        <v>semaine du 23/02 au 01/03</v>
      </c>
      <c r="C35" s="32"/>
      <c r="D35" s="31"/>
      <c r="E35" s="29"/>
      <c r="F35" s="30" t="str">
        <f>"semaine du "&amp;TEXT(mdate-20,"jj/mm")&amp;" au "&amp;TEXT(mdate-14,"jj/mm")</f>
        <v>semaine du 02/03 au 08/03</v>
      </c>
      <c r="G35" s="32"/>
      <c r="H35" s="31"/>
      <c r="I35" s="29"/>
      <c r="J35" s="30" t="str">
        <f>"semaine du "&amp;TEXT(mdate-13,"jj/mm")&amp;" au "&amp;TEXT(mdate-7,"jj/mm")</f>
        <v>semaine du 09/03 au 15/03</v>
      </c>
      <c r="K35" s="46"/>
      <c r="L35" s="31"/>
      <c r="M35" s="29"/>
      <c r="N35" s="30" t="str">
        <f>"semaine du "&amp;TEXT(mdate-6,"jj/mm")&amp;" au "&amp;TEXT(mdate,"jj/mm")</f>
        <v>semaine du 16/03 au 22/03</v>
      </c>
      <c r="O35" s="46"/>
      <c r="P35" s="31"/>
    </row>
    <row r="36" spans="1:16" ht="33.75" customHeight="1">
      <c r="A36" s="51" t="s">
        <v>109</v>
      </c>
      <c r="B36" s="223" t="s">
        <v>17</v>
      </c>
      <c r="C36" s="52"/>
      <c r="D36" s="54"/>
      <c r="E36" s="51" t="s">
        <v>109</v>
      </c>
      <c r="F36" s="223" t="s">
        <v>17</v>
      </c>
      <c r="G36" s="52"/>
      <c r="H36" s="54"/>
      <c r="I36" s="51" t="s">
        <v>109</v>
      </c>
      <c r="J36" s="223" t="s">
        <v>17</v>
      </c>
      <c r="K36" s="52"/>
      <c r="L36" s="148"/>
      <c r="M36" s="51" t="s">
        <v>109</v>
      </c>
      <c r="N36" s="223" t="s">
        <v>17</v>
      </c>
      <c r="O36" s="52"/>
      <c r="P36" s="54"/>
    </row>
    <row r="37" spans="1:17" ht="39.75" customHeight="1">
      <c r="A37" s="40" t="s">
        <v>108</v>
      </c>
      <c r="B37" s="217" t="s">
        <v>217</v>
      </c>
      <c r="C37" s="37">
        <f>(vma_obj_km)/88.5%</f>
        <v>0.002314814814814815</v>
      </c>
      <c r="D37" s="34">
        <f>fc_repos+(z_travail*0.87)</f>
        <v>173.1</v>
      </c>
      <c r="E37" s="40" t="s">
        <v>108</v>
      </c>
      <c r="F37" s="213" t="s">
        <v>175</v>
      </c>
      <c r="G37" s="37">
        <f>vma_obj_km/98%/1000*1200</f>
        <v>0.0025085034013605442</v>
      </c>
      <c r="H37" s="34">
        <f>fc_repos+(z_travail*0.88)</f>
        <v>174.4</v>
      </c>
      <c r="I37" s="40" t="s">
        <v>108</v>
      </c>
      <c r="J37" s="45" t="s">
        <v>132</v>
      </c>
      <c r="K37" s="37">
        <f>(vma_obj_km)/95%</f>
        <v>0.002156432748538012</v>
      </c>
      <c r="L37" s="34">
        <f>fc_repos+(z_travail*0.88)</f>
        <v>174.4</v>
      </c>
      <c r="M37" s="40" t="s">
        <v>108</v>
      </c>
      <c r="N37" s="213" t="s">
        <v>140</v>
      </c>
      <c r="O37" s="37">
        <f>vma_obj_km/105%/1000*400</f>
        <v>0.0007804232804232804</v>
      </c>
      <c r="P37" s="34">
        <f>fc_repos+(z_travail*0.92)</f>
        <v>179.60000000000002</v>
      </c>
      <c r="Q37" s="186"/>
    </row>
    <row r="38" spans="1:17" ht="33.75" customHeight="1">
      <c r="A38" s="40" t="s">
        <v>103</v>
      </c>
      <c r="B38" s="224" t="s">
        <v>17</v>
      </c>
      <c r="C38" s="37"/>
      <c r="D38" s="34"/>
      <c r="E38" s="40" t="s">
        <v>103</v>
      </c>
      <c r="F38" s="224" t="s">
        <v>17</v>
      </c>
      <c r="G38" s="36"/>
      <c r="H38" s="34"/>
      <c r="I38" s="40" t="s">
        <v>103</v>
      </c>
      <c r="J38" s="224" t="s">
        <v>17</v>
      </c>
      <c r="K38" s="36"/>
      <c r="L38" s="34"/>
      <c r="M38" s="40" t="s">
        <v>103</v>
      </c>
      <c r="N38" s="224" t="s">
        <v>17</v>
      </c>
      <c r="O38" s="37"/>
      <c r="P38" s="34"/>
      <c r="Q38" s="186"/>
    </row>
    <row r="39" spans="1:17" ht="33.75" customHeight="1">
      <c r="A39" s="40" t="s">
        <v>107</v>
      </c>
      <c r="B39" s="210" t="s">
        <v>4</v>
      </c>
      <c r="C39" s="37">
        <f>(vma_obj_km)/78%</f>
        <v>0.0026264245014245018</v>
      </c>
      <c r="D39" s="34">
        <f>fc_repos+(z_travail*0.76)</f>
        <v>158.8</v>
      </c>
      <c r="E39" s="40" t="s">
        <v>107</v>
      </c>
      <c r="F39" s="210" t="s">
        <v>189</v>
      </c>
      <c r="G39" s="37">
        <f>(vma_obj_km)/78%</f>
        <v>0.0026264245014245018</v>
      </c>
      <c r="H39" s="34">
        <f>fc_repos+(z_travail*0.76)</f>
        <v>158.8</v>
      </c>
      <c r="I39" s="40" t="s">
        <v>107</v>
      </c>
      <c r="J39" s="210" t="s">
        <v>4</v>
      </c>
      <c r="K39" s="37">
        <f>(vma_obj_km)/78%</f>
        <v>0.0026264245014245018</v>
      </c>
      <c r="L39" s="34">
        <f>fc_repos+(z_travail*0.76)</f>
        <v>158.8</v>
      </c>
      <c r="M39" s="40" t="s">
        <v>107</v>
      </c>
      <c r="N39" s="209" t="s">
        <v>222</v>
      </c>
      <c r="O39" s="37">
        <f>(vma_obj_km)/68%</f>
        <v>0.0030126633986928106</v>
      </c>
      <c r="P39" s="34">
        <f>fc_repos+(z_travail*0.68)</f>
        <v>148.4</v>
      </c>
      <c r="Q39" s="186"/>
    </row>
    <row r="40" spans="1:17" ht="33.75" customHeight="1">
      <c r="A40" s="40" t="s">
        <v>104</v>
      </c>
      <c r="B40" s="224" t="s">
        <v>17</v>
      </c>
      <c r="C40" s="37"/>
      <c r="D40" s="34"/>
      <c r="E40" s="40" t="s">
        <v>104</v>
      </c>
      <c r="F40" s="224" t="s">
        <v>17</v>
      </c>
      <c r="G40" s="37"/>
      <c r="H40" s="34"/>
      <c r="I40" s="40" t="s">
        <v>104</v>
      </c>
      <c r="J40" s="224" t="s">
        <v>17</v>
      </c>
      <c r="K40" s="37"/>
      <c r="L40" s="147"/>
      <c r="M40" s="40" t="s">
        <v>104</v>
      </c>
      <c r="N40" s="226" t="s">
        <v>17</v>
      </c>
      <c r="O40" s="37"/>
      <c r="P40" s="34"/>
      <c r="Q40" s="186"/>
    </row>
    <row r="41" spans="1:17" ht="39" customHeight="1">
      <c r="A41" s="40" t="s">
        <v>105</v>
      </c>
      <c r="B41" s="205" t="s">
        <v>177</v>
      </c>
      <c r="C41" s="37">
        <f>(vma_obj_km)/68%</f>
        <v>0.0030126633986928106</v>
      </c>
      <c r="D41" s="34">
        <f>fc_repos+(z_travail*0.68)</f>
        <v>148.4</v>
      </c>
      <c r="E41" s="40" t="s">
        <v>105</v>
      </c>
      <c r="F41" s="217" t="s">
        <v>218</v>
      </c>
      <c r="G41" s="37">
        <f>(vma_obj_km)/88.5%</f>
        <v>0.002314814814814815</v>
      </c>
      <c r="H41" s="34">
        <f>fc_repos+(z_travail*0.87)</f>
        <v>173.1</v>
      </c>
      <c r="I41" s="40" t="s">
        <v>105</v>
      </c>
      <c r="J41" s="217" t="s">
        <v>219</v>
      </c>
      <c r="K41" s="37">
        <f>(vma_obj_km)/88.5%</f>
        <v>0.002314814814814815</v>
      </c>
      <c r="L41" s="34">
        <f>fc_repos+(z_travail*0.87)</f>
        <v>173.1</v>
      </c>
      <c r="M41" s="40" t="s">
        <v>105</v>
      </c>
      <c r="N41" s="208" t="s">
        <v>136</v>
      </c>
      <c r="O41" s="37">
        <f>(vma_obj_km)/68%</f>
        <v>0.0030126633986928106</v>
      </c>
      <c r="P41" s="34">
        <f>fc_repos+(z_travail*0.68)</f>
        <v>148.4</v>
      </c>
      <c r="Q41" s="186"/>
    </row>
    <row r="42" spans="1:17" ht="33.75" customHeight="1" thickBot="1">
      <c r="A42" s="41" t="s">
        <v>106</v>
      </c>
      <c r="B42" s="50" t="s">
        <v>167</v>
      </c>
      <c r="C42" s="61">
        <f>vma_obj_km*15/0.885</f>
        <v>0.034722222222222224</v>
      </c>
      <c r="D42" s="49">
        <f>fc_repos+(z_travail*0.87)</f>
        <v>173.1</v>
      </c>
      <c r="E42" s="41" t="s">
        <v>106</v>
      </c>
      <c r="F42" s="204" t="s">
        <v>220</v>
      </c>
      <c r="G42" s="38">
        <f>(vma_obj_km)/68%</f>
        <v>0.0030126633986928106</v>
      </c>
      <c r="H42" s="35">
        <f>fc_repos+(z_travail*0.68)</f>
        <v>148.4</v>
      </c>
      <c r="I42" s="41" t="s">
        <v>106</v>
      </c>
      <c r="J42" s="204" t="s">
        <v>221</v>
      </c>
      <c r="K42" s="38">
        <f>(vma_obj_km)/68%</f>
        <v>0.0030126633986928106</v>
      </c>
      <c r="L42" s="35">
        <f>fc_repos+(z_travail*0.68)</f>
        <v>148.4</v>
      </c>
      <c r="M42" s="41" t="s">
        <v>106</v>
      </c>
      <c r="N42" s="65" t="s">
        <v>154</v>
      </c>
      <c r="O42" s="61">
        <f>objectif</f>
        <v>0.04708333333333333</v>
      </c>
      <c r="P42" s="49">
        <f>fc_repos+(z_travail*0.87)</f>
        <v>173.1</v>
      </c>
      <c r="Q42" s="186"/>
    </row>
    <row r="43" spans="16:17" ht="33.75" customHeight="1">
      <c r="P43" s="191"/>
      <c r="Q43" s="186"/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3:P42"/>
  <sheetViews>
    <sheetView workbookViewId="0" topLeftCell="A33">
      <selection activeCell="M32" sqref="M32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71093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5.8515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7109375" style="15" bestFit="1" customWidth="1"/>
  </cols>
  <sheetData>
    <row r="3" spans="2:3" ht="33.75" customHeight="1" thickBot="1">
      <c r="B3" s="195"/>
      <c r="C3" s="151"/>
    </row>
    <row r="4" spans="1:16" ht="33.75" customHeight="1" thickBot="1">
      <c r="A4" s="42"/>
      <c r="B4" s="350" t="s">
        <v>20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43"/>
      <c r="P4" s="44"/>
    </row>
    <row r="5" spans="1:16" ht="33.75" customHeight="1" thickBot="1">
      <c r="A5" s="29"/>
      <c r="B5" s="30" t="str">
        <f>"semaine du "&amp;TEXT(mdate-83,"jj/mm")&amp;" au "&amp;TEXT(mdate-77,"jj/mm")</f>
        <v>semaine du 29/12 au 04/01</v>
      </c>
      <c r="C5" s="30" t="s">
        <v>81</v>
      </c>
      <c r="D5" s="31" t="s">
        <v>16</v>
      </c>
      <c r="E5" s="29"/>
      <c r="F5" s="30" t="str">
        <f>"semaine du "&amp;TEXT(mdate-76,"jj/mm")&amp;" au "&amp;TEXT(mdate-70,"jj/mm")</f>
        <v>semaine du 05/01 au 11/01</v>
      </c>
      <c r="G5" s="32" t="s">
        <v>81</v>
      </c>
      <c r="H5" s="31" t="s">
        <v>16</v>
      </c>
      <c r="I5" s="29"/>
      <c r="J5" s="30" t="str">
        <f>"semaine du "&amp;TEXT(mdate-69,"jj/mm")&amp;" au "&amp;TEXT(mdate-63,"jj/mm")</f>
        <v>semaine du 12/01 au 18/01</v>
      </c>
      <c r="K5" s="30" t="s">
        <v>81</v>
      </c>
      <c r="L5" s="31" t="s">
        <v>16</v>
      </c>
      <c r="M5" s="29"/>
      <c r="N5" s="30" t="str">
        <f>"semaine du "&amp;TEXT(mdate-62,"jj/mm")&amp;" au "&amp;TEXT(mdate-56,"jj/mm")</f>
        <v>semaine du 19/01 au 25/01</v>
      </c>
      <c r="O5" s="30" t="s">
        <v>81</v>
      </c>
      <c r="P5" s="31" t="s">
        <v>16</v>
      </c>
    </row>
    <row r="6" spans="1:16" ht="33.75" customHeight="1">
      <c r="A6" s="51" t="s">
        <v>109</v>
      </c>
      <c r="B6" s="227" t="s">
        <v>17</v>
      </c>
      <c r="C6" s="52"/>
      <c r="D6" s="54"/>
      <c r="E6" s="51" t="s">
        <v>109</v>
      </c>
      <c r="F6" s="53" t="s">
        <v>17</v>
      </c>
      <c r="G6" s="52"/>
      <c r="H6" s="54"/>
      <c r="I6" s="51" t="s">
        <v>109</v>
      </c>
      <c r="J6" s="53" t="s">
        <v>17</v>
      </c>
      <c r="K6" s="52"/>
      <c r="L6" s="54"/>
      <c r="M6" s="51" t="s">
        <v>109</v>
      </c>
      <c r="N6" s="53" t="s">
        <v>17</v>
      </c>
      <c r="O6" s="52"/>
      <c r="P6" s="54"/>
    </row>
    <row r="7" spans="1:16" ht="33.75" customHeight="1">
      <c r="A7" s="40" t="s">
        <v>108</v>
      </c>
      <c r="B7" s="212" t="s">
        <v>259</v>
      </c>
      <c r="C7" s="37">
        <f>(vma_obj_km)/68%</f>
        <v>0.0030126633986928106</v>
      </c>
      <c r="D7" s="34">
        <f>fc_repos+(z_travail*0.68)</f>
        <v>148.4</v>
      </c>
      <c r="E7" s="40" t="s">
        <v>108</v>
      </c>
      <c r="F7" s="45" t="s">
        <v>133</v>
      </c>
      <c r="G7" s="37">
        <f>(vma_obj_km)/100%</f>
        <v>0.0020486111111111113</v>
      </c>
      <c r="H7" s="34">
        <f>fc_repos+(z_travail*0.9)</f>
        <v>177</v>
      </c>
      <c r="I7" s="40" t="s">
        <v>108</v>
      </c>
      <c r="J7" s="210" t="s">
        <v>135</v>
      </c>
      <c r="K7" s="37">
        <f>(vma_obj_km)/78%</f>
        <v>0.0026264245014245018</v>
      </c>
      <c r="L7" s="34">
        <f>fc_repos+(z_travail*0.76)</f>
        <v>158.8</v>
      </c>
      <c r="M7" s="40" t="s">
        <v>108</v>
      </c>
      <c r="N7" s="45" t="s">
        <v>134</v>
      </c>
      <c r="O7" s="37">
        <f>(vma_obj_km)/100%</f>
        <v>0.0020486111111111113</v>
      </c>
      <c r="P7" s="34">
        <f>fc_repos+(z_travail*0.9)</f>
        <v>177</v>
      </c>
    </row>
    <row r="8" spans="1:16" ht="33.75" customHeight="1">
      <c r="A8" s="40" t="s">
        <v>103</v>
      </c>
      <c r="B8" s="225" t="s">
        <v>17</v>
      </c>
      <c r="C8" s="36"/>
      <c r="D8" s="34"/>
      <c r="E8" s="40" t="s">
        <v>103</v>
      </c>
      <c r="F8" s="224" t="s">
        <v>17</v>
      </c>
      <c r="G8" s="37"/>
      <c r="H8" s="34"/>
      <c r="I8" s="40" t="s">
        <v>103</v>
      </c>
      <c r="J8" s="224" t="s">
        <v>17</v>
      </c>
      <c r="K8" s="37"/>
      <c r="L8" s="34"/>
      <c r="M8" s="40" t="s">
        <v>103</v>
      </c>
      <c r="N8" s="224" t="s">
        <v>17</v>
      </c>
      <c r="O8" s="37"/>
      <c r="P8" s="34"/>
    </row>
    <row r="9" spans="1:16" ht="38.25" customHeight="1">
      <c r="A9" s="40" t="s">
        <v>107</v>
      </c>
      <c r="B9" s="210" t="s">
        <v>4</v>
      </c>
      <c r="C9" s="37">
        <f>(vma_obj_km)/78%</f>
        <v>0.0026264245014245018</v>
      </c>
      <c r="D9" s="34">
        <f>fc_repos+(z_travail*0.76)</f>
        <v>158.8</v>
      </c>
      <c r="E9" s="40" t="s">
        <v>107</v>
      </c>
      <c r="F9" s="210" t="s">
        <v>4</v>
      </c>
      <c r="G9" s="37">
        <f>(vma_obj_km)/78%</f>
        <v>0.0026264245014245018</v>
      </c>
      <c r="H9" s="34">
        <f>fc_repos+(z_travail*0.76)</f>
        <v>158.8</v>
      </c>
      <c r="I9" s="40" t="s">
        <v>107</v>
      </c>
      <c r="J9" s="215" t="s">
        <v>206</v>
      </c>
      <c r="K9" s="37">
        <f>vma_obj_km/117%/1000*200</f>
        <v>0.0003501899335232669</v>
      </c>
      <c r="L9" s="34">
        <f>fc_repos+(z_travail*0.93)</f>
        <v>180.9</v>
      </c>
      <c r="M9" s="40" t="s">
        <v>107</v>
      </c>
      <c r="N9" s="210" t="s">
        <v>4</v>
      </c>
      <c r="O9" s="37">
        <f>(vma_obj_km)/78%</f>
        <v>0.0026264245014245018</v>
      </c>
      <c r="P9" s="34">
        <f>fc_repos+(z_travail*0.76)</f>
        <v>158.8</v>
      </c>
    </row>
    <row r="10" spans="1:16" ht="33.75" customHeight="1">
      <c r="A10" s="40" t="s">
        <v>104</v>
      </c>
      <c r="B10" s="224" t="s">
        <v>17</v>
      </c>
      <c r="C10" s="36"/>
      <c r="D10" s="33"/>
      <c r="E10" s="40" t="s">
        <v>104</v>
      </c>
      <c r="F10" s="224" t="s">
        <v>17</v>
      </c>
      <c r="G10" s="36"/>
      <c r="H10" s="33"/>
      <c r="I10" s="40" t="s">
        <v>104</v>
      </c>
      <c r="J10" s="226" t="s">
        <v>17</v>
      </c>
      <c r="K10" s="36"/>
      <c r="L10" s="34"/>
      <c r="M10" s="40" t="s">
        <v>104</v>
      </c>
      <c r="N10" s="224" t="s">
        <v>17</v>
      </c>
      <c r="O10" s="37"/>
      <c r="P10" s="34"/>
    </row>
    <row r="11" spans="1:16" ht="25.5" customHeight="1">
      <c r="A11" s="40" t="s">
        <v>105</v>
      </c>
      <c r="B11" s="224" t="s">
        <v>17</v>
      </c>
      <c r="C11" s="37"/>
      <c r="D11" s="34"/>
      <c r="E11" s="40" t="s">
        <v>105</v>
      </c>
      <c r="F11" s="224" t="s">
        <v>17</v>
      </c>
      <c r="G11" s="37"/>
      <c r="H11" s="34"/>
      <c r="I11" s="40" t="s">
        <v>105</v>
      </c>
      <c r="J11" s="225" t="s">
        <v>17</v>
      </c>
      <c r="K11" s="37"/>
      <c r="L11" s="34"/>
      <c r="M11" s="40" t="s">
        <v>105</v>
      </c>
      <c r="N11" s="224" t="s">
        <v>17</v>
      </c>
      <c r="O11" s="36"/>
      <c r="P11" s="33"/>
    </row>
    <row r="12" spans="1:16" ht="45.75" customHeight="1" thickBot="1">
      <c r="A12" s="41" t="s">
        <v>106</v>
      </c>
      <c r="B12" s="221" t="s">
        <v>201</v>
      </c>
      <c r="C12" s="38">
        <f>(vma_obj_km)/88.5%</f>
        <v>0.002314814814814815</v>
      </c>
      <c r="D12" s="35">
        <f>fc_repos+(z_travail*0.87)</f>
        <v>173.1</v>
      </c>
      <c r="E12" s="41" t="s">
        <v>106</v>
      </c>
      <c r="F12" s="221" t="s">
        <v>223</v>
      </c>
      <c r="G12" s="38">
        <f>(vma_obj_km)/88.5%</f>
        <v>0.002314814814814815</v>
      </c>
      <c r="H12" s="35">
        <f>fc_repos+(z_travail*0.87)</f>
        <v>173.1</v>
      </c>
      <c r="I12" s="41" t="s">
        <v>105</v>
      </c>
      <c r="J12" s="221" t="s">
        <v>195</v>
      </c>
      <c r="K12" s="38">
        <f>(vma_obj_km)/88.5%</f>
        <v>0.002314814814814815</v>
      </c>
      <c r="L12" s="35">
        <f>fc_repos+(z_travail*0.87)</f>
        <v>173.1</v>
      </c>
      <c r="M12" s="41" t="s">
        <v>105</v>
      </c>
      <c r="N12" s="221" t="s">
        <v>194</v>
      </c>
      <c r="O12" s="38">
        <f>(vma_obj_km)/88.5%</f>
        <v>0.002314814814814815</v>
      </c>
      <c r="P12" s="35">
        <f>fc_repos+(z_travail*0.87)</f>
        <v>173.1</v>
      </c>
    </row>
    <row r="18" ht="33.75" customHeight="1" thickBot="1"/>
    <row r="19" spans="1:16" ht="33.75" customHeight="1" thickBot="1">
      <c r="A19" s="42"/>
      <c r="B19" s="350" t="s">
        <v>21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43"/>
      <c r="P19" s="44"/>
    </row>
    <row r="20" spans="1:16" ht="33.75" customHeight="1" thickBot="1">
      <c r="A20" s="29"/>
      <c r="B20" s="17" t="str">
        <f>"semaine du "&amp;TEXT(mdate-55,"jj/mm")&amp;" au "&amp;TEXT(mdate-49,"jj/mm")</f>
        <v>semaine du 26/01 au 01/02</v>
      </c>
      <c r="C20" s="19"/>
      <c r="D20" s="18"/>
      <c r="E20" s="29"/>
      <c r="F20" s="17" t="str">
        <f>"semaine du "&amp;TEXT(mdate-48,"jj/mm")&amp;" au "&amp;TEXT(mdate-42,"jj/mm")</f>
        <v>semaine du 02/02 au 08/02</v>
      </c>
      <c r="G20" s="19"/>
      <c r="H20" s="18"/>
      <c r="I20" s="29"/>
      <c r="J20" s="17" t="str">
        <f>"semaine du "&amp;TEXT(mdate-41,"jj/mm")&amp;" au "&amp;TEXT(mdate-35,"jj/mm")</f>
        <v>semaine du 09/02 au 15/02</v>
      </c>
      <c r="K20" s="192"/>
      <c r="L20" s="18"/>
      <c r="M20" s="29"/>
      <c r="N20" s="17" t="str">
        <f>"semaine du "&amp;TEXT(mdate-34,"jj/mm")&amp;" au "&amp;TEXT(mdate-28,"jj/mm")</f>
        <v>semaine du 16/02 au 22/02</v>
      </c>
      <c r="O20" s="20"/>
      <c r="P20" s="18"/>
    </row>
    <row r="21" spans="1:16" ht="33.75" customHeight="1">
      <c r="A21" s="51" t="s">
        <v>109</v>
      </c>
      <c r="B21" s="223" t="s">
        <v>17</v>
      </c>
      <c r="C21" s="52"/>
      <c r="D21" s="54"/>
      <c r="E21" s="51" t="s">
        <v>109</v>
      </c>
      <c r="F21" s="223" t="s">
        <v>17</v>
      </c>
      <c r="G21" s="189"/>
      <c r="H21" s="190"/>
      <c r="I21" s="51" t="s">
        <v>109</v>
      </c>
      <c r="J21" s="228" t="s">
        <v>17</v>
      </c>
      <c r="K21" s="37"/>
      <c r="L21" s="59"/>
      <c r="M21" s="55" t="s">
        <v>109</v>
      </c>
      <c r="N21" s="223" t="s">
        <v>17</v>
      </c>
      <c r="O21" s="52"/>
      <c r="P21" s="54"/>
    </row>
    <row r="22" spans="1:16" ht="33.75" customHeight="1">
      <c r="A22" s="40" t="s">
        <v>108</v>
      </c>
      <c r="B22" s="210" t="s">
        <v>188</v>
      </c>
      <c r="C22" s="37">
        <f>(vma_obj_km)/78%</f>
        <v>0.0026264245014245018</v>
      </c>
      <c r="D22" s="34">
        <f>fc_repos+(z_travail*0.76)</f>
        <v>158.8</v>
      </c>
      <c r="E22" s="40" t="s">
        <v>108</v>
      </c>
      <c r="F22" s="45" t="s">
        <v>172</v>
      </c>
      <c r="G22" s="37">
        <f>(vma_obj_km)/95%</f>
        <v>0.002156432748538012</v>
      </c>
      <c r="H22" s="34">
        <f>fc_repos+(z_travail*0.88)</f>
        <v>174.4</v>
      </c>
      <c r="I22" s="40" t="s">
        <v>108</v>
      </c>
      <c r="J22" s="217" t="s">
        <v>168</v>
      </c>
      <c r="K22" s="37">
        <f>(vma_obj_km)/88.5%</f>
        <v>0.002314814814814815</v>
      </c>
      <c r="L22" s="34">
        <f>fc_repos+(z_travail*0.87)</f>
        <v>173.1</v>
      </c>
      <c r="M22" s="56" t="s">
        <v>108</v>
      </c>
      <c r="N22" s="45" t="s">
        <v>171</v>
      </c>
      <c r="O22" s="37">
        <f>(vma_obj_km)/100%</f>
        <v>0.0020486111111111113</v>
      </c>
      <c r="P22" s="34">
        <f>fc_repos+(z_travail*0.9)</f>
        <v>177</v>
      </c>
    </row>
    <row r="23" spans="1:16" ht="33.75" customHeight="1">
      <c r="A23" s="40" t="s">
        <v>103</v>
      </c>
      <c r="B23" s="229" t="s">
        <v>17</v>
      </c>
      <c r="C23" s="37"/>
      <c r="D23" s="34"/>
      <c r="E23" s="40" t="s">
        <v>103</v>
      </c>
      <c r="F23" s="224" t="s">
        <v>17</v>
      </c>
      <c r="G23" s="37"/>
      <c r="H23" s="34"/>
      <c r="I23" s="40" t="s">
        <v>103</v>
      </c>
      <c r="J23" s="224" t="s">
        <v>17</v>
      </c>
      <c r="K23" s="37"/>
      <c r="L23" s="34"/>
      <c r="M23" s="56" t="s">
        <v>103</v>
      </c>
      <c r="N23" s="224" t="s">
        <v>17</v>
      </c>
      <c r="O23" s="37"/>
      <c r="P23" s="34"/>
    </row>
    <row r="24" spans="1:16" ht="33.75" customHeight="1">
      <c r="A24" s="40" t="s">
        <v>107</v>
      </c>
      <c r="B24" s="216" t="s">
        <v>176</v>
      </c>
      <c r="C24" s="37">
        <f>vma_obj_km/99%/1000*900</f>
        <v>0.0018623737373737374</v>
      </c>
      <c r="D24" s="34">
        <f>fc_repos+(z_travail*0.89)</f>
        <v>175.7</v>
      </c>
      <c r="E24" s="40" t="s">
        <v>107</v>
      </c>
      <c r="F24" s="210" t="s">
        <v>4</v>
      </c>
      <c r="G24" s="37">
        <f>(vma_obj_km)/78%</f>
        <v>0.0026264245014245018</v>
      </c>
      <c r="H24" s="34">
        <f>fc_repos+(z_travail*0.76)</f>
        <v>158.8</v>
      </c>
      <c r="I24" s="40" t="s">
        <v>107</v>
      </c>
      <c r="J24" s="206" t="s">
        <v>193</v>
      </c>
      <c r="K24" s="37">
        <f>(vma_obj_km)/68%</f>
        <v>0.0030126633986928106</v>
      </c>
      <c r="L24" s="34">
        <f>fc_repos+(z_travail*0.68)</f>
        <v>148.4</v>
      </c>
      <c r="M24" s="56" t="s">
        <v>107</v>
      </c>
      <c r="N24" s="210" t="s">
        <v>4</v>
      </c>
      <c r="O24" s="37">
        <f>(vma_obj_km)/78%</f>
        <v>0.0026264245014245018</v>
      </c>
      <c r="P24" s="34">
        <f>fc_repos+(z_travail*0.76)</f>
        <v>158.8</v>
      </c>
    </row>
    <row r="25" spans="1:16" ht="33.75" customHeight="1">
      <c r="A25" s="40" t="s">
        <v>104</v>
      </c>
      <c r="B25" s="225" t="s">
        <v>17</v>
      </c>
      <c r="C25" s="36"/>
      <c r="D25" s="33"/>
      <c r="E25" s="40" t="s">
        <v>104</v>
      </c>
      <c r="F25" s="224" t="s">
        <v>17</v>
      </c>
      <c r="G25" s="36"/>
      <c r="H25" s="33"/>
      <c r="I25" s="40" t="s">
        <v>104</v>
      </c>
      <c r="J25" s="224" t="s">
        <v>17</v>
      </c>
      <c r="K25" s="37"/>
      <c r="L25" s="34"/>
      <c r="M25" s="56" t="s">
        <v>104</v>
      </c>
      <c r="N25" s="224" t="s">
        <v>17</v>
      </c>
      <c r="O25" s="36"/>
      <c r="P25" s="33"/>
    </row>
    <row r="26" spans="1:16" ht="33.75" customHeight="1">
      <c r="A26" s="40" t="s">
        <v>105</v>
      </c>
      <c r="B26" s="224" t="s">
        <v>17</v>
      </c>
      <c r="C26" s="37"/>
      <c r="D26" s="34"/>
      <c r="E26" s="40" t="s">
        <v>105</v>
      </c>
      <c r="F26" s="224" t="s">
        <v>17</v>
      </c>
      <c r="G26" s="37"/>
      <c r="H26" s="34"/>
      <c r="I26" s="40" t="s">
        <v>105</v>
      </c>
      <c r="J26" s="224" t="s">
        <v>17</v>
      </c>
      <c r="K26" s="36"/>
      <c r="L26" s="33"/>
      <c r="M26" s="56" t="s">
        <v>105</v>
      </c>
      <c r="N26" s="224" t="s">
        <v>17</v>
      </c>
      <c r="O26" s="37"/>
      <c r="P26" s="34"/>
    </row>
    <row r="27" spans="1:16" ht="39.75" customHeight="1" thickBot="1">
      <c r="A27" s="41" t="s">
        <v>106</v>
      </c>
      <c r="B27" s="221" t="s">
        <v>198</v>
      </c>
      <c r="C27" s="38">
        <f>(vma_obj_km)/88.5%</f>
        <v>0.002314814814814815</v>
      </c>
      <c r="D27" s="35">
        <f>fc_repos+(z_travail*0.87)</f>
        <v>173.1</v>
      </c>
      <c r="E27" s="41" t="s">
        <v>106</v>
      </c>
      <c r="F27" s="221" t="s">
        <v>197</v>
      </c>
      <c r="G27" s="38">
        <f>(vma_obj_km)/88.5%</f>
        <v>0.002314814814814815</v>
      </c>
      <c r="H27" s="35">
        <f>fc_repos+(z_travail*0.87)</f>
        <v>173.1</v>
      </c>
      <c r="I27" s="41" t="s">
        <v>106</v>
      </c>
      <c r="J27" s="50" t="s">
        <v>130</v>
      </c>
      <c r="K27" s="61">
        <f>vma_obj_km*10/0.885</f>
        <v>0.02314814814814815</v>
      </c>
      <c r="L27" s="49">
        <f>fc_repos+(z_travail*0.87)</f>
        <v>173.1</v>
      </c>
      <c r="M27" s="57" t="s">
        <v>106</v>
      </c>
      <c r="N27" s="221" t="s">
        <v>196</v>
      </c>
      <c r="O27" s="38">
        <f>(vma_obj_km)/88.5%</f>
        <v>0.002314814814814815</v>
      </c>
      <c r="P27" s="35">
        <f>fc_repos+(z_travail*0.87)</f>
        <v>173.1</v>
      </c>
    </row>
    <row r="28" spans="1:13" ht="33.75" customHeight="1">
      <c r="A28" s="21"/>
      <c r="B28" s="21"/>
      <c r="C28" s="22"/>
      <c r="D28" s="23"/>
      <c r="E28" s="21"/>
      <c r="F28" s="21"/>
      <c r="G28" s="24"/>
      <c r="H28" s="23"/>
      <c r="I28" s="21"/>
      <c r="J28" s="25"/>
      <c r="K28" s="24"/>
      <c r="L28" s="23"/>
      <c r="M28" s="21"/>
    </row>
    <row r="29" spans="1:13" ht="33.75" customHeight="1">
      <c r="A29" s="21"/>
      <c r="B29" s="21"/>
      <c r="C29" s="22"/>
      <c r="D29" s="23"/>
      <c r="E29" s="21"/>
      <c r="F29" s="21"/>
      <c r="G29" s="24"/>
      <c r="H29" s="23"/>
      <c r="I29" s="21"/>
      <c r="J29" s="25"/>
      <c r="K29" s="24"/>
      <c r="L29" s="23"/>
      <c r="M29" s="21"/>
    </row>
    <row r="30" spans="1:13" ht="33.75" customHeight="1">
      <c r="A30" s="21"/>
      <c r="B30" s="21"/>
      <c r="C30" s="22"/>
      <c r="D30" s="23"/>
      <c r="E30" s="21"/>
      <c r="F30" s="21"/>
      <c r="G30" s="24"/>
      <c r="H30" s="23"/>
      <c r="I30" s="21"/>
      <c r="J30" s="25"/>
      <c r="K30" s="24"/>
      <c r="L30" s="23"/>
      <c r="M30" s="21"/>
    </row>
    <row r="31" spans="1:13" ht="33.75" customHeight="1">
      <c r="A31" s="21"/>
      <c r="B31" s="21"/>
      <c r="C31" s="22"/>
      <c r="D31" s="23"/>
      <c r="E31" s="21"/>
      <c r="F31" s="21"/>
      <c r="G31" s="24"/>
      <c r="H31" s="23"/>
      <c r="I31" s="21"/>
      <c r="J31" s="25"/>
      <c r="K31" s="24"/>
      <c r="L31" s="23"/>
      <c r="M31" s="21"/>
    </row>
    <row r="32" spans="1:13" ht="33.75" customHeight="1">
      <c r="A32" s="21"/>
      <c r="B32" s="21"/>
      <c r="C32" s="22"/>
      <c r="D32" s="23"/>
      <c r="E32" s="21"/>
      <c r="F32" s="21"/>
      <c r="G32" s="24"/>
      <c r="H32" s="23"/>
      <c r="I32" s="21"/>
      <c r="J32" s="25"/>
      <c r="K32" s="24"/>
      <c r="L32" s="23"/>
      <c r="M32" s="21"/>
    </row>
    <row r="33" ht="33.75" customHeight="1" thickBot="1"/>
    <row r="34" spans="1:16" ht="33.75" customHeight="1" thickBot="1">
      <c r="A34" s="42"/>
      <c r="B34" s="350" t="s">
        <v>110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43"/>
      <c r="P34" s="44"/>
    </row>
    <row r="35" spans="1:16" ht="33.75" customHeight="1" thickBot="1">
      <c r="A35" s="29"/>
      <c r="B35" s="17" t="str">
        <f>"semaine du "&amp;TEXT(mdate-27,"jj/mm")&amp;" au "&amp;TEXT(mdate-21,"jj/mm")</f>
        <v>semaine du 23/02 au 01/03</v>
      </c>
      <c r="C35" s="19"/>
      <c r="D35" s="18"/>
      <c r="E35" s="149"/>
      <c r="F35" s="17" t="str">
        <f>"semaine du "&amp;TEXT(mdate-20,"jj/mm")&amp;" au "&amp;TEXT(mdate-14,"jj/mm")</f>
        <v>semaine du 02/03 au 08/03</v>
      </c>
      <c r="G35" s="19"/>
      <c r="H35" s="18"/>
      <c r="I35" s="29"/>
      <c r="J35" s="17" t="str">
        <f>"semaine du "&amp;TEXT(mdate-13,"jj/mm")&amp;" au "&amp;TEXT(mdate-7,"jj/mm")</f>
        <v>semaine du 09/03 au 15/03</v>
      </c>
      <c r="K35" s="20"/>
      <c r="L35" s="18"/>
      <c r="M35" s="29"/>
      <c r="N35" s="17" t="str">
        <f>"semaine du "&amp;TEXT(mdate-6,"jj/mm")&amp;" au "&amp;TEXT(mdate,"jj/mm")</f>
        <v>semaine du 16/03 au 22/03</v>
      </c>
      <c r="O35" s="20"/>
      <c r="P35" s="18"/>
    </row>
    <row r="36" spans="1:16" ht="33.75" customHeight="1">
      <c r="A36" s="51" t="s">
        <v>109</v>
      </c>
      <c r="B36" s="227" t="s">
        <v>17</v>
      </c>
      <c r="C36" s="52"/>
      <c r="D36" s="54"/>
      <c r="E36" s="55" t="s">
        <v>109</v>
      </c>
      <c r="F36" s="223" t="s">
        <v>17</v>
      </c>
      <c r="G36" s="52"/>
      <c r="H36" s="54"/>
      <c r="I36" s="51" t="s">
        <v>109</v>
      </c>
      <c r="J36" s="223" t="s">
        <v>17</v>
      </c>
      <c r="K36" s="52"/>
      <c r="L36" s="54"/>
      <c r="M36" s="55" t="s">
        <v>109</v>
      </c>
      <c r="N36" s="227" t="s">
        <v>17</v>
      </c>
      <c r="O36" s="52"/>
      <c r="P36" s="54"/>
    </row>
    <row r="37" spans="1:16" ht="33.75" customHeight="1">
      <c r="A37" s="40" t="s">
        <v>108</v>
      </c>
      <c r="B37" s="226" t="s">
        <v>17</v>
      </c>
      <c r="C37" s="47"/>
      <c r="D37" s="34"/>
      <c r="E37" s="56" t="s">
        <v>108</v>
      </c>
      <c r="F37" s="210" t="s">
        <v>189</v>
      </c>
      <c r="G37" s="37">
        <f>(vma_obj_km)/78%</f>
        <v>0.0026264245014245018</v>
      </c>
      <c r="H37" s="34">
        <f>fc_repos+(z_travail*0.76)</f>
        <v>158.8</v>
      </c>
      <c r="I37" s="40" t="s">
        <v>108</v>
      </c>
      <c r="J37" s="45" t="s">
        <v>132</v>
      </c>
      <c r="K37" s="37">
        <f>(vma_obj_km)/95%</f>
        <v>0.002156432748538012</v>
      </c>
      <c r="L37" s="34">
        <f>fc_repos+(z_travail*0.88)</f>
        <v>174.4</v>
      </c>
      <c r="M37" s="56" t="s">
        <v>108</v>
      </c>
      <c r="N37" s="226" t="s">
        <v>17</v>
      </c>
      <c r="O37" s="47"/>
      <c r="P37" s="34"/>
    </row>
    <row r="38" spans="1:16" ht="33.75" customHeight="1">
      <c r="A38" s="40" t="s">
        <v>103</v>
      </c>
      <c r="B38" s="222" t="s">
        <v>199</v>
      </c>
      <c r="C38" s="37">
        <f>(vma_obj_km)/88.5%</f>
        <v>0.002314814814814815</v>
      </c>
      <c r="D38" s="34">
        <f>fc_repos+(z_travail*0.87)</f>
        <v>173.1</v>
      </c>
      <c r="E38" s="56" t="s">
        <v>103</v>
      </c>
      <c r="F38" s="229" t="s">
        <v>17</v>
      </c>
      <c r="G38" s="37"/>
      <c r="H38" s="34"/>
      <c r="I38" s="40" t="s">
        <v>103</v>
      </c>
      <c r="J38" s="224" t="s">
        <v>17</v>
      </c>
      <c r="K38" s="37"/>
      <c r="L38" s="34"/>
      <c r="M38" s="56" t="s">
        <v>103</v>
      </c>
      <c r="N38" s="216" t="s">
        <v>207</v>
      </c>
      <c r="O38" s="37">
        <f>vma_obj_km/105%/1000*400</f>
        <v>0.0007804232804232804</v>
      </c>
      <c r="P38" s="34">
        <f>fc_repos+(z_travail*0.92)</f>
        <v>179.60000000000002</v>
      </c>
    </row>
    <row r="39" spans="1:16" ht="33.75" customHeight="1">
      <c r="A39" s="40" t="s">
        <v>107</v>
      </c>
      <c r="B39" s="224" t="s">
        <v>17</v>
      </c>
      <c r="C39" s="36"/>
      <c r="D39" s="33"/>
      <c r="E39" s="56" t="s">
        <v>107</v>
      </c>
      <c r="F39" s="216" t="s">
        <v>175</v>
      </c>
      <c r="G39" s="37">
        <f>vma_obj_km/98%/1000*1200</f>
        <v>0.0025085034013605442</v>
      </c>
      <c r="H39" s="34">
        <f>fc_repos+(z_travail*0.88)</f>
        <v>174.4</v>
      </c>
      <c r="I39" s="40" t="s">
        <v>107</v>
      </c>
      <c r="J39" s="210" t="s">
        <v>4</v>
      </c>
      <c r="K39" s="37">
        <f>(vma_obj_km)/78%</f>
        <v>0.0026264245014245018</v>
      </c>
      <c r="L39" s="34">
        <f>fc_repos+(z_travail*0.76)</f>
        <v>158.8</v>
      </c>
      <c r="M39" s="56" t="s">
        <v>107</v>
      </c>
      <c r="N39" s="225" t="s">
        <v>17</v>
      </c>
      <c r="O39" s="36"/>
      <c r="P39" s="33"/>
    </row>
    <row r="40" spans="1:16" ht="33.75" customHeight="1">
      <c r="A40" s="40" t="s">
        <v>104</v>
      </c>
      <c r="B40" s="205" t="s">
        <v>177</v>
      </c>
      <c r="C40" s="37">
        <f>(vma_obj_km)/68%</f>
        <v>0.0030126633986928106</v>
      </c>
      <c r="D40" s="34">
        <f>fc_repos+(z_travail*0.68)</f>
        <v>148.4</v>
      </c>
      <c r="E40" s="56" t="s">
        <v>104</v>
      </c>
      <c r="F40" s="225" t="s">
        <v>17</v>
      </c>
      <c r="G40" s="36"/>
      <c r="H40" s="33"/>
      <c r="I40" s="40" t="s">
        <v>104</v>
      </c>
      <c r="J40" s="224" t="s">
        <v>17</v>
      </c>
      <c r="K40" s="37"/>
      <c r="L40" s="34"/>
      <c r="M40" s="56" t="s">
        <v>104</v>
      </c>
      <c r="N40" s="205" t="s">
        <v>177</v>
      </c>
      <c r="O40" s="37">
        <f>(vma_obj_km)/68%</f>
        <v>0.0030126633986928106</v>
      </c>
      <c r="P40" s="34">
        <f>fc_repos+(z_travail*0.68)</f>
        <v>148.4</v>
      </c>
    </row>
    <row r="41" spans="1:16" ht="33.75" customHeight="1">
      <c r="A41" s="40" t="s">
        <v>105</v>
      </c>
      <c r="B41" s="224" t="s">
        <v>17</v>
      </c>
      <c r="C41" s="37"/>
      <c r="D41" s="34"/>
      <c r="E41" s="56" t="s">
        <v>105</v>
      </c>
      <c r="F41" s="224" t="s">
        <v>17</v>
      </c>
      <c r="G41" s="37"/>
      <c r="H41" s="34"/>
      <c r="I41" s="40" t="s">
        <v>105</v>
      </c>
      <c r="J41" s="224" t="s">
        <v>17</v>
      </c>
      <c r="K41" s="37"/>
      <c r="L41" s="60"/>
      <c r="M41" s="56" t="s">
        <v>105</v>
      </c>
      <c r="N41" s="224" t="s">
        <v>17</v>
      </c>
      <c r="O41" s="37"/>
      <c r="P41" s="34"/>
    </row>
    <row r="42" spans="1:16" ht="36.75" customHeight="1" thickBot="1">
      <c r="A42" s="41" t="s">
        <v>106</v>
      </c>
      <c r="B42" s="50" t="s">
        <v>167</v>
      </c>
      <c r="C42" s="61">
        <f>vma_obj_km*15/0.885</f>
        <v>0.034722222222222224</v>
      </c>
      <c r="D42" s="49">
        <f>fc_repos+(z_travail*0.87)</f>
        <v>173.1</v>
      </c>
      <c r="E42" s="57" t="s">
        <v>106</v>
      </c>
      <c r="F42" s="221" t="s">
        <v>208</v>
      </c>
      <c r="G42" s="38">
        <f>(vma_obj_km)/88.5%</f>
        <v>0.002314814814814815</v>
      </c>
      <c r="H42" s="35">
        <f>fc_repos+(z_travail*0.87)</f>
        <v>173.1</v>
      </c>
      <c r="I42" s="41" t="s">
        <v>106</v>
      </c>
      <c r="J42" s="221" t="s">
        <v>200</v>
      </c>
      <c r="K42" s="38">
        <f>(vma_obj_km)/88.5%</f>
        <v>0.002314814814814815</v>
      </c>
      <c r="L42" s="35">
        <f>fc_repos+(z_travail*0.87)</f>
        <v>173.1</v>
      </c>
      <c r="M42" s="57" t="s">
        <v>106</v>
      </c>
      <c r="N42" s="65" t="s">
        <v>154</v>
      </c>
      <c r="O42" s="61">
        <f>objectif</f>
        <v>0.04708333333333333</v>
      </c>
      <c r="P42" s="49">
        <f>fc_repos+(z_travail*0.87)</f>
        <v>173.1</v>
      </c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8:F34"/>
  <sheetViews>
    <sheetView workbookViewId="0" topLeftCell="A1">
      <selection activeCell="A4" sqref="A4"/>
    </sheetView>
  </sheetViews>
  <sheetFormatPr defaultColWidth="11.57421875" defaultRowHeight="12.75"/>
  <cols>
    <col min="1" max="1" width="14.421875" style="171" customWidth="1"/>
    <col min="2" max="2" width="12.28125" style="169" customWidth="1"/>
    <col min="3" max="3" width="11.421875" style="169" customWidth="1"/>
    <col min="4" max="4" width="13.28125" style="169" customWidth="1"/>
    <col min="5" max="16384" width="11.421875" style="169" customWidth="1"/>
  </cols>
  <sheetData>
    <row r="8" spans="1:6" ht="12">
      <c r="A8" s="352" t="s">
        <v>27</v>
      </c>
      <c r="B8" s="353"/>
      <c r="C8" s="353"/>
      <c r="D8" s="353"/>
      <c r="E8" s="353"/>
      <c r="F8" s="353"/>
    </row>
    <row r="9" spans="1:6" ht="12">
      <c r="A9" s="172"/>
      <c r="B9" s="170"/>
      <c r="C9" s="354" t="s">
        <v>28</v>
      </c>
      <c r="D9" s="355"/>
      <c r="E9" s="354" t="s">
        <v>29</v>
      </c>
      <c r="F9" s="355"/>
    </row>
    <row r="10" spans="1:6" ht="12">
      <c r="A10" s="173" t="s">
        <v>30</v>
      </c>
      <c r="B10" s="176">
        <f>fc_repos</f>
        <v>60</v>
      </c>
      <c r="C10" s="173" t="s">
        <v>31</v>
      </c>
      <c r="D10" s="179">
        <f>100/(v_vma+(0.5*0.9))</f>
        <v>222.22222222222223</v>
      </c>
      <c r="E10" s="173" t="s">
        <v>32</v>
      </c>
      <c r="F10" s="182">
        <v>0.00034722222222222224</v>
      </c>
    </row>
    <row r="11" spans="1:6" ht="12">
      <c r="A11" s="173" t="s">
        <v>35</v>
      </c>
      <c r="B11" s="176">
        <f>fc_repos+(z_travail*0.98)</f>
        <v>187.39999999999998</v>
      </c>
      <c r="C11" s="173" t="s">
        <v>36</v>
      </c>
      <c r="D11" s="179">
        <f>200/(v_vma+(0.5*0.8))</f>
        <v>500</v>
      </c>
      <c r="E11" s="173" t="s">
        <v>37</v>
      </c>
      <c r="F11" s="182">
        <v>0.0004050925925925926</v>
      </c>
    </row>
    <row r="12" spans="1:6" ht="12">
      <c r="A12" s="173" t="s">
        <v>82</v>
      </c>
      <c r="B12" s="176">
        <f>fc_repos+(z_travail*((100-(300/dist_vma_min))/100))</f>
        <v>186.1</v>
      </c>
      <c r="C12" s="173" t="s">
        <v>39</v>
      </c>
      <c r="D12" s="179">
        <f>300/(v_vma+(0.5*0.7))</f>
        <v>857.1428571428572</v>
      </c>
      <c r="E12" s="173" t="s">
        <v>40</v>
      </c>
      <c r="F12" s="182">
        <v>0.0005787037037037038</v>
      </c>
    </row>
    <row r="13" spans="1:6" ht="12">
      <c r="A13" s="173" t="s">
        <v>38</v>
      </c>
      <c r="B13" s="176">
        <f>fc_repos+(z_travail*((100-(400/dist_vma_min))/100))</f>
        <v>184.8</v>
      </c>
      <c r="C13" s="173" t="s">
        <v>43</v>
      </c>
      <c r="D13" s="179">
        <f>400/(v_vma+(0.5*0.6))</f>
        <v>1333.3333333333335</v>
      </c>
      <c r="E13" s="173" t="s">
        <v>44</v>
      </c>
      <c r="F13" s="182">
        <v>0.0006944444444444445</v>
      </c>
    </row>
    <row r="14" spans="1:6" ht="12">
      <c r="A14" s="173" t="s">
        <v>42</v>
      </c>
      <c r="B14" s="176">
        <f>fc_repos+(z_travail*((100-(500/dist_vma_min))/100))</f>
        <v>183.5</v>
      </c>
      <c r="C14" s="173" t="s">
        <v>46</v>
      </c>
      <c r="D14" s="179">
        <f>500/(v_vma+(0.5*0.5))</f>
        <v>2000</v>
      </c>
      <c r="E14" s="173" t="s">
        <v>47</v>
      </c>
      <c r="F14" s="182">
        <v>0.0006944444444444445</v>
      </c>
    </row>
    <row r="15" spans="1:6" ht="12">
      <c r="A15" s="173" t="s">
        <v>204</v>
      </c>
      <c r="B15" s="176">
        <f>fc_repos+(z_travail*((100-(700/dist_vma_min))/100))</f>
        <v>180.9</v>
      </c>
      <c r="C15" s="173"/>
      <c r="D15" s="179"/>
      <c r="E15" s="173"/>
      <c r="F15" s="182"/>
    </row>
    <row r="16" spans="1:6" ht="12">
      <c r="A16" s="173" t="s">
        <v>83</v>
      </c>
      <c r="B16" s="176">
        <f>fc_repos+(z_travail*((100-(800/dist_vma_min))/100))</f>
        <v>179.60000000000002</v>
      </c>
      <c r="C16" s="173" t="s">
        <v>50</v>
      </c>
      <c r="D16" s="179" t="e">
        <f>1000/v_vma</f>
        <v>#DIV/0!</v>
      </c>
      <c r="E16" s="173" t="s">
        <v>51</v>
      </c>
      <c r="F16" s="182">
        <v>0.0010416666666666667</v>
      </c>
    </row>
    <row r="17" spans="1:6" ht="12">
      <c r="A17" s="173" t="s">
        <v>84</v>
      </c>
      <c r="B17" s="176">
        <f>fc_repos+(z_travail*((100-(1200/dist_vma_min))/100))</f>
        <v>174.4</v>
      </c>
      <c r="C17" s="173"/>
      <c r="D17" s="180"/>
      <c r="E17" s="173"/>
      <c r="F17" s="182"/>
    </row>
    <row r="18" spans="1:6" ht="12">
      <c r="A18" s="173" t="s">
        <v>45</v>
      </c>
      <c r="B18" s="176">
        <f>fc_repos+(z_travail*k_vma*k_semi)</f>
        <v>161.79000000000002</v>
      </c>
      <c r="C18" s="173"/>
      <c r="D18" s="181"/>
      <c r="E18" s="175"/>
      <c r="F18" s="181"/>
    </row>
    <row r="19" spans="1:6" ht="12">
      <c r="A19" s="173" t="s">
        <v>49</v>
      </c>
      <c r="B19" s="176">
        <f>fc_max-fc_repos</f>
        <v>130</v>
      </c>
      <c r="C19" s="173"/>
      <c r="D19" s="179"/>
      <c r="E19" s="175"/>
      <c r="F19" s="181"/>
    </row>
    <row r="20" spans="1:6" ht="12">
      <c r="A20" s="173"/>
      <c r="B20" s="176"/>
      <c r="C20" s="173" t="s">
        <v>53</v>
      </c>
      <c r="D20" s="182">
        <f>seuil*3</f>
        <v>0.003233431901668659</v>
      </c>
      <c r="E20" s="173"/>
      <c r="F20" s="184"/>
    </row>
    <row r="21" spans="1:6" ht="12">
      <c r="A21" s="173" t="s">
        <v>52</v>
      </c>
      <c r="B21" s="177">
        <f>IF(D_test=2000,0.88,0.9)</f>
        <v>0.9</v>
      </c>
      <c r="C21" s="173" t="s">
        <v>55</v>
      </c>
      <c r="D21" s="182">
        <f>seuil*4</f>
        <v>0.004311242535558212</v>
      </c>
      <c r="E21" s="173"/>
      <c r="F21" s="184"/>
    </row>
    <row r="22" spans="1:6" ht="12">
      <c r="A22" s="173" t="s">
        <v>54</v>
      </c>
      <c r="B22" s="177">
        <f>IF(D_test=2000,0.88,0.88)</f>
        <v>0.88</v>
      </c>
      <c r="C22" s="173" t="s">
        <v>58</v>
      </c>
      <c r="D22" s="179" t="e">
        <f>dist_vma/(v_vma+(0.5*((1000-dist_vma)/1000)))</f>
        <v>#DIV/0!</v>
      </c>
      <c r="E22" s="173"/>
      <c r="F22" s="184"/>
    </row>
    <row r="23" spans="1:6" ht="12">
      <c r="A23" s="173" t="s">
        <v>57</v>
      </c>
      <c r="B23" s="177">
        <f>IF(D_test=2000,0.78,0.8)</f>
        <v>0.8</v>
      </c>
      <c r="C23" s="173"/>
      <c r="D23" s="179"/>
      <c r="E23" s="173"/>
      <c r="F23" s="184"/>
    </row>
    <row r="24" spans="1:6" ht="12">
      <c r="A24" s="173" t="s">
        <v>203</v>
      </c>
      <c r="B24" s="178">
        <v>0.885</v>
      </c>
      <c r="C24" s="173" t="s">
        <v>61</v>
      </c>
      <c r="D24" s="176">
        <f>fc_repos+(z_travail*((100-(dist_vma/dist_vma_min))/100))</f>
        <v>177</v>
      </c>
      <c r="E24" s="173"/>
      <c r="F24" s="184"/>
    </row>
    <row r="25" spans="1:6" ht="12">
      <c r="A25" s="173" t="s">
        <v>60</v>
      </c>
      <c r="B25" s="177">
        <v>0.68</v>
      </c>
      <c r="C25" s="173" t="s">
        <v>63</v>
      </c>
      <c r="D25" s="176">
        <f>fc_repos+(z_travail*((100-(100/dist_vma_min))/100))</f>
        <v>188.7</v>
      </c>
      <c r="E25" s="174"/>
      <c r="F25" s="184"/>
    </row>
    <row r="26" spans="1:6" ht="12">
      <c r="A26" s="173" t="s">
        <v>62</v>
      </c>
      <c r="B26" s="177">
        <f>IF(D_test=2000,0.83,0.85)</f>
        <v>0.85</v>
      </c>
      <c r="C26" s="173" t="s">
        <v>65</v>
      </c>
      <c r="D26" s="183">
        <f>vma_obj_km*10/k_10</f>
        <v>0.024101307189542488</v>
      </c>
      <c r="E26" s="174"/>
      <c r="F26" s="184"/>
    </row>
    <row r="27" spans="1:6" ht="12">
      <c r="A27" s="173" t="s">
        <v>64</v>
      </c>
      <c r="B27" s="177">
        <f>IF(D_test=2000,0.87,0.87)</f>
        <v>0.87</v>
      </c>
      <c r="C27" s="173" t="s">
        <v>68</v>
      </c>
      <c r="D27" s="183">
        <f>vma_obj_km/k_semi*dist_semi</f>
        <v>0.04709450830140485</v>
      </c>
      <c r="E27" s="174"/>
      <c r="F27" s="184"/>
    </row>
    <row r="28" spans="1:6" ht="12">
      <c r="A28" s="173" t="s">
        <v>67</v>
      </c>
      <c r="B28" s="177">
        <f>IF(D_test=2000,0.83,0.85)</f>
        <v>0.85</v>
      </c>
      <c r="C28" s="173" t="s">
        <v>70</v>
      </c>
      <c r="D28" s="183">
        <f>vma_obj_km/k_semi</f>
        <v>0.0023547254150702427</v>
      </c>
      <c r="E28" s="174"/>
      <c r="F28" s="184"/>
    </row>
    <row r="29" spans="1:6" ht="12">
      <c r="A29" s="173" t="s">
        <v>69</v>
      </c>
      <c r="B29" s="177">
        <f>IF(D_test=2000,3.55,3.7)</f>
        <v>3.7</v>
      </c>
      <c r="C29" s="173" t="s">
        <v>72</v>
      </c>
      <c r="D29" s="183">
        <f>endurance/K_facile</f>
        <v>0</v>
      </c>
      <c r="E29" s="174"/>
      <c r="F29" s="184"/>
    </row>
    <row r="30" spans="1:6" ht="12">
      <c r="A30" s="173" t="s">
        <v>71</v>
      </c>
      <c r="B30" s="176">
        <v>100</v>
      </c>
      <c r="C30" s="173" t="s">
        <v>15</v>
      </c>
      <c r="D30" s="183">
        <f>(objectif/dist_marathon)*k_marat/k_anaero</f>
        <v>0.001077810633889553</v>
      </c>
      <c r="E30" s="174"/>
      <c r="F30" s="184"/>
    </row>
    <row r="31" spans="1:6" ht="12">
      <c r="A31" s="173" t="s">
        <v>73</v>
      </c>
      <c r="B31" s="178">
        <v>42.195</v>
      </c>
      <c r="C31" s="174"/>
      <c r="D31" s="184"/>
      <c r="E31" s="174"/>
      <c r="F31" s="184"/>
    </row>
    <row r="32" spans="1:6" ht="12">
      <c r="A32" s="173" t="s">
        <v>22</v>
      </c>
      <c r="B32" s="178">
        <v>20</v>
      </c>
      <c r="C32" s="174"/>
      <c r="D32" s="184"/>
      <c r="E32" s="174"/>
      <c r="F32" s="184"/>
    </row>
    <row r="33" spans="1:6" ht="12">
      <c r="A33" s="173" t="s">
        <v>23</v>
      </c>
      <c r="B33" s="176">
        <f>IF(Etalonnage!B9=2000,2,1.5)</f>
        <v>1.5</v>
      </c>
      <c r="C33" s="174"/>
      <c r="D33" s="184"/>
      <c r="E33" s="174"/>
      <c r="F33" s="184"/>
    </row>
    <row r="34" spans="1:6" ht="12">
      <c r="A34" s="173" t="s">
        <v>24</v>
      </c>
      <c r="B34" s="177">
        <f>IF(D_test=2000,0.87,0.89)</f>
        <v>0.89</v>
      </c>
      <c r="C34" s="174"/>
      <c r="D34" s="185"/>
      <c r="E34" s="174"/>
      <c r="F34" s="184"/>
    </row>
  </sheetData>
  <sheetProtection/>
  <mergeCells count="3">
    <mergeCell ref="A8:F8"/>
    <mergeCell ref="C9:D9"/>
    <mergeCell ref="E9:F9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7:J40"/>
  <sheetViews>
    <sheetView workbookViewId="0" topLeftCell="A1">
      <selection activeCell="H5" sqref="H5"/>
    </sheetView>
  </sheetViews>
  <sheetFormatPr defaultColWidth="12.57421875" defaultRowHeight="12.75"/>
  <cols>
    <col min="1" max="1" width="16.8515625" style="0" customWidth="1"/>
    <col min="2" max="10" width="10.7109375" style="0" customWidth="1"/>
    <col min="11" max="16384" width="12.421875" style="0" customWidth="1"/>
  </cols>
  <sheetData>
    <row r="6" ht="13.5" thickBot="1"/>
    <row r="7" spans="1:10" ht="29.25" customHeight="1" thickBot="1">
      <c r="A7" s="123" t="s">
        <v>5</v>
      </c>
      <c r="B7" s="124" t="s">
        <v>6</v>
      </c>
      <c r="C7" s="139">
        <v>20</v>
      </c>
      <c r="D7" s="125" t="s">
        <v>7</v>
      </c>
      <c r="E7" s="13"/>
      <c r="F7" s="1"/>
      <c r="G7" s="1"/>
      <c r="H7" s="1"/>
      <c r="I7" s="1"/>
      <c r="J7" s="1"/>
    </row>
    <row r="8" spans="1:10" ht="16.5" thickBot="1">
      <c r="A8" s="13"/>
      <c r="B8" s="26"/>
      <c r="C8" s="27"/>
      <c r="D8" s="28"/>
      <c r="E8" s="13"/>
      <c r="F8" s="13"/>
      <c r="G8" s="13"/>
      <c r="H8" s="13"/>
      <c r="I8" s="13"/>
      <c r="J8" s="13"/>
    </row>
    <row r="9" spans="1:10" ht="20.25">
      <c r="A9" s="117" t="s">
        <v>186</v>
      </c>
      <c r="B9" s="365" t="s">
        <v>8</v>
      </c>
      <c r="C9" s="366"/>
      <c r="D9" s="366"/>
      <c r="E9" s="366"/>
      <c r="F9" s="366"/>
      <c r="G9" s="366"/>
      <c r="H9" s="366"/>
      <c r="I9" s="366"/>
      <c r="J9" s="367"/>
    </row>
    <row r="10" spans="1:10" ht="19.5" thickBot="1">
      <c r="A10" s="122" t="s">
        <v>187</v>
      </c>
      <c r="B10" s="368" t="s">
        <v>9</v>
      </c>
      <c r="C10" s="369"/>
      <c r="D10" s="369"/>
      <c r="E10" s="369"/>
      <c r="F10" s="369"/>
      <c r="G10" s="369"/>
      <c r="H10" s="369"/>
      <c r="I10" s="369"/>
      <c r="J10" s="370"/>
    </row>
    <row r="11" spans="1:10" ht="24.75" customHeight="1" thickBot="1">
      <c r="A11" s="113" t="s">
        <v>6</v>
      </c>
      <c r="B11" s="114">
        <v>100</v>
      </c>
      <c r="C11" s="115">
        <v>200</v>
      </c>
      <c r="D11" s="115">
        <v>400</v>
      </c>
      <c r="E11" s="115">
        <v>600</v>
      </c>
      <c r="F11" s="115">
        <v>800</v>
      </c>
      <c r="G11" s="115">
        <v>1000</v>
      </c>
      <c r="H11" s="115">
        <v>1500</v>
      </c>
      <c r="I11" s="115">
        <v>2000</v>
      </c>
      <c r="J11" s="116">
        <v>3000</v>
      </c>
    </row>
    <row r="12" spans="1:10" ht="21.75" customHeight="1">
      <c r="A12" s="117">
        <v>85</v>
      </c>
      <c r="B12" s="126">
        <f>((100*0.04167)/(C7*10*A12))</f>
        <v>0.0002451176470588235</v>
      </c>
      <c r="C12" s="127">
        <f>((200*0.04167)/(C7*10*A12))</f>
        <v>0.000490235294117647</v>
      </c>
      <c r="D12" s="127">
        <f>((400*0.04167)/(C7*10*A12))</f>
        <v>0.000980470588235294</v>
      </c>
      <c r="E12" s="127">
        <f>((600*0.04167)/(C7*10*A12))</f>
        <v>0.001470705882352941</v>
      </c>
      <c r="F12" s="127">
        <f>((800*0.04167)/(C7*10*A12))</f>
        <v>0.001960941176470588</v>
      </c>
      <c r="G12" s="127">
        <f>((1000*0.04167)/(C7*10*A12))</f>
        <v>0.0024511764705882353</v>
      </c>
      <c r="H12" s="127">
        <f>((1500*0.04167)/(C7*10*A12))</f>
        <v>0.0036767647058823525</v>
      </c>
      <c r="I12" s="127">
        <f>((2000*0.04167)/(C7*10*A12))</f>
        <v>0.0049023529411764705</v>
      </c>
      <c r="J12" s="128">
        <f>((3000*0.04167)/(C7*10*A12))</f>
        <v>0.007353529411764705</v>
      </c>
    </row>
    <row r="13" spans="1:10" ht="21.75" customHeight="1">
      <c r="A13" s="118">
        <v>90</v>
      </c>
      <c r="B13" s="129">
        <f>((100*0.04167)/(C7*10*A13))</f>
        <v>0.0002315</v>
      </c>
      <c r="C13" s="130">
        <f>((200*0.04167)/(C7*10*A13))</f>
        <v>0.000463</v>
      </c>
      <c r="D13" s="130">
        <f>((400*0.04167)/(C7*10*A13))</f>
        <v>0.000926</v>
      </c>
      <c r="E13" s="130">
        <f>((600*0.04167)/(C7*10*A13))</f>
        <v>0.001389</v>
      </c>
      <c r="F13" s="130">
        <f>((800*0.04167)/(C7*10*A13))</f>
        <v>0.001852</v>
      </c>
      <c r="G13" s="130">
        <f>((1000*0.04167)/(C7*10*A13))</f>
        <v>0.0023150000000000002</v>
      </c>
      <c r="H13" s="130">
        <f>((1500*0.04167)/(C7*10*A13))</f>
        <v>0.0034725</v>
      </c>
      <c r="I13" s="130">
        <f>((2000*0.04167)/(C7*10*A13))</f>
        <v>0.0046300000000000004</v>
      </c>
      <c r="J13" s="131">
        <f>((3000*0.04167)/(C7*10*A13))</f>
        <v>0.006945</v>
      </c>
    </row>
    <row r="14" spans="1:10" ht="21.75" customHeight="1">
      <c r="A14" s="119">
        <v>95</v>
      </c>
      <c r="B14" s="129">
        <f>((100*0.04167)/(C7*10*A14))</f>
        <v>0.0002193157894736842</v>
      </c>
      <c r="C14" s="130">
        <f>((200*0.04167)/(C7*10*A14))</f>
        <v>0.0004386315789473684</v>
      </c>
      <c r="D14" s="130">
        <f>((400*0.04167)/(C7*10*A14))</f>
        <v>0.0008772631578947368</v>
      </c>
      <c r="E14" s="130">
        <f>((600*0.04167)/(C7*10*A14))</f>
        <v>0.0013158947368421053</v>
      </c>
      <c r="F14" s="130">
        <f>((800*0.04167)/(C7*10*A14))</f>
        <v>0.0017545263157894735</v>
      </c>
      <c r="G14" s="130">
        <f>((1000*0.04167)/(C7*10*A14))</f>
        <v>0.002193157894736842</v>
      </c>
      <c r="H14" s="130">
        <f>((1500*0.04167)/(C7*10*A14))</f>
        <v>0.003289736842105263</v>
      </c>
      <c r="I14" s="130">
        <f>((2000*0.04167)/(C7*10*A14))</f>
        <v>0.004386315789473684</v>
      </c>
      <c r="J14" s="131">
        <f>((3000*0.04167)/(C7*10*A14))</f>
        <v>0.006579473684210526</v>
      </c>
    </row>
    <row r="15" spans="1:10" ht="21.75" customHeight="1">
      <c r="A15" s="120">
        <v>100</v>
      </c>
      <c r="B15" s="129">
        <f>((100*0.04167)/(C7*10*A15))</f>
        <v>0.00020835</v>
      </c>
      <c r="C15" s="130">
        <f>((200*0.04167)/(C7*10*A15))</f>
        <v>0.0004167</v>
      </c>
      <c r="D15" s="130">
        <f>((400*0.04167)/(C7*10*A15))</f>
        <v>0.0008334</v>
      </c>
      <c r="E15" s="130">
        <f>((600*0.04167)/(C7*10*A15))</f>
        <v>0.0012500999999999999</v>
      </c>
      <c r="F15" s="130">
        <f>((800*0.04167)/(C7*10*A15))</f>
        <v>0.0016668</v>
      </c>
      <c r="G15" s="130">
        <f>((1000*0.04167)/(C7*10*A15))</f>
        <v>0.0020835000000000003</v>
      </c>
      <c r="H15" s="130">
        <f>((1500*0.04167)/(C7*10*A15))</f>
        <v>0.0031252499999999996</v>
      </c>
      <c r="I15" s="130">
        <f>((2000*0.04167)/(C7*10*A15))</f>
        <v>0.0041670000000000006</v>
      </c>
      <c r="J15" s="131">
        <f>((3000*0.04167)/(C7*10*A15))</f>
        <v>0.006250499999999999</v>
      </c>
    </row>
    <row r="16" spans="1:10" ht="21.75" customHeight="1">
      <c r="A16" s="120">
        <v>105</v>
      </c>
      <c r="B16" s="129">
        <f>((100*0.04167)/(C7*10*A16))</f>
        <v>0.00019842857142857143</v>
      </c>
      <c r="C16" s="130">
        <f>((200*0.04167)/(C7*10*A16))</f>
        <v>0.00039685714285714286</v>
      </c>
      <c r="D16" s="130">
        <f>((400*0.04167)/(C7*10*A16))</f>
        <v>0.0007937142857142857</v>
      </c>
      <c r="E16" s="130">
        <f>((600*0.04167)/(C7*10*A16))</f>
        <v>0.0011905714285714284</v>
      </c>
      <c r="F16" s="130">
        <f>((800*0.04167)/(C7*10*A16))</f>
        <v>0.0015874285714285714</v>
      </c>
      <c r="G16" s="130">
        <f>((1000*0.04167)/(C7*10*A16))</f>
        <v>0.0019842857142857145</v>
      </c>
      <c r="H16" s="130">
        <f>((1500*0.04167)/(C7*10*A16))</f>
        <v>0.0029764285714285713</v>
      </c>
      <c r="I16" s="130">
        <f>((2000*0.04167)/(C7*10*A16))</f>
        <v>0.003968571428571429</v>
      </c>
      <c r="J16" s="131">
        <f>((3000*0.04167)/(C7*10*A16))</f>
        <v>0.0059528571428571425</v>
      </c>
    </row>
    <row r="17" spans="1:10" ht="21.75" customHeight="1" thickBot="1">
      <c r="A17" s="121">
        <v>117</v>
      </c>
      <c r="B17" s="132">
        <f>((100*0.04167)/(C7*10*A17))</f>
        <v>0.00017807692307692308</v>
      </c>
      <c r="C17" s="133">
        <f>((200*0.04167)/(C7*10*A17))</f>
        <v>0.00035615384615384616</v>
      </c>
      <c r="D17" s="133">
        <f>((400*0.04167)/(C7*10*A17))</f>
        <v>0.0007123076923076923</v>
      </c>
      <c r="E17" s="133">
        <f>((600*0.04167)/(C7*10*A17))</f>
        <v>0.0010684615384615383</v>
      </c>
      <c r="F17" s="133">
        <f>((800*0.04167)/(C7*10*A17))</f>
        <v>0.0014246153846153846</v>
      </c>
      <c r="G17" s="133">
        <f>((1000*0.04167)/(C7*10*A17))</f>
        <v>0.0017807692307692307</v>
      </c>
      <c r="H17" s="133">
        <f>((1500*0.04167)/(C7*10*A17))</f>
        <v>0.002671153846153846</v>
      </c>
      <c r="I17" s="133">
        <f>((2000*0.04167)/(C7*10*A17))</f>
        <v>0.0035615384615384615</v>
      </c>
      <c r="J17" s="134">
        <f>((3000*0.04167)/(C7*10*A17))</f>
        <v>0.005342307692307692</v>
      </c>
    </row>
    <row r="18" spans="1:10" s="1" customFormat="1" ht="18.7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.75" customHeight="1" thickBot="1">
      <c r="A19" s="373" t="s">
        <v>10</v>
      </c>
      <c r="B19" s="374"/>
      <c r="C19" s="374"/>
      <c r="D19" s="375"/>
      <c r="E19" s="375"/>
      <c r="F19" s="375"/>
      <c r="G19" s="376"/>
      <c r="H19" s="13"/>
      <c r="I19" s="1"/>
      <c r="J19" s="1"/>
    </row>
    <row r="20" spans="1:10" ht="21.75" customHeight="1" thickBot="1">
      <c r="A20" s="145" t="s">
        <v>11</v>
      </c>
      <c r="B20" s="146">
        <v>114</v>
      </c>
      <c r="C20" s="141"/>
      <c r="D20" s="141"/>
      <c r="E20" s="141"/>
      <c r="F20" s="141"/>
      <c r="G20" s="142"/>
      <c r="H20" s="13"/>
      <c r="I20" s="1"/>
      <c r="J20" s="1"/>
    </row>
    <row r="21" spans="1:10" ht="21.75" customHeight="1" thickBot="1">
      <c r="A21" s="136" t="s">
        <v>12</v>
      </c>
      <c r="B21" s="137">
        <v>300</v>
      </c>
      <c r="C21" s="138" t="s">
        <v>13</v>
      </c>
      <c r="D21" s="143"/>
      <c r="E21" s="135" t="s">
        <v>14</v>
      </c>
      <c r="F21" s="140">
        <f>(B21*0.04167)/(C7*10*B20)</f>
        <v>0.0005482894736842105</v>
      </c>
      <c r="G21" s="144"/>
      <c r="H21" s="13"/>
      <c r="I21" s="1"/>
      <c r="J21" s="1"/>
    </row>
    <row r="22" spans="1:10" s="1" customFormat="1" ht="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">
      <c r="A23" s="371"/>
      <c r="B23" s="74"/>
      <c r="C23" s="372"/>
      <c r="D23" s="372"/>
      <c r="E23" s="364"/>
      <c r="F23" s="364"/>
      <c r="G23" s="372"/>
      <c r="H23" s="372"/>
      <c r="I23" s="372"/>
      <c r="J23" s="363"/>
    </row>
    <row r="24" spans="1:10" ht="12">
      <c r="A24" s="371"/>
      <c r="B24" s="74"/>
      <c r="C24" s="372"/>
      <c r="D24" s="372"/>
      <c r="E24" s="364"/>
      <c r="F24" s="364"/>
      <c r="G24" s="372"/>
      <c r="H24" s="372"/>
      <c r="I24" s="372"/>
      <c r="J24" s="363"/>
    </row>
    <row r="25" spans="1:10" ht="12">
      <c r="A25" s="361"/>
      <c r="B25" s="360"/>
      <c r="C25" s="362"/>
      <c r="D25" s="362"/>
      <c r="E25" s="360"/>
      <c r="F25" s="360"/>
      <c r="G25" s="360"/>
      <c r="H25" s="360"/>
      <c r="I25" s="360"/>
      <c r="J25" s="360"/>
    </row>
    <row r="26" spans="1:10" ht="12">
      <c r="A26" s="361"/>
      <c r="B26" s="360"/>
      <c r="C26" s="362"/>
      <c r="D26" s="362"/>
      <c r="E26" s="360"/>
      <c r="F26" s="360"/>
      <c r="G26" s="76"/>
      <c r="H26" s="77"/>
      <c r="I26" s="76"/>
      <c r="J26" s="360"/>
    </row>
    <row r="27" spans="1:10" ht="12.75">
      <c r="A27" s="75"/>
      <c r="B27" s="76"/>
      <c r="C27" s="360"/>
      <c r="D27" s="360"/>
      <c r="E27" s="360"/>
      <c r="F27" s="360"/>
      <c r="G27" s="360"/>
      <c r="H27" s="360"/>
      <c r="I27" s="360"/>
      <c r="J27" s="76"/>
    </row>
    <row r="28" spans="1:10" ht="12.75">
      <c r="A28" s="75"/>
      <c r="B28" s="76"/>
      <c r="C28" s="362"/>
      <c r="D28" s="362"/>
      <c r="E28" s="362"/>
      <c r="F28" s="362"/>
      <c r="G28" s="360"/>
      <c r="H28" s="360"/>
      <c r="I28" s="360"/>
      <c r="J28" s="76"/>
    </row>
    <row r="29" spans="1:10" ht="12.75">
      <c r="A29" s="75"/>
      <c r="B29" s="76"/>
      <c r="C29" s="360"/>
      <c r="D29" s="360"/>
      <c r="E29" s="360"/>
      <c r="F29" s="360"/>
      <c r="G29" s="360"/>
      <c r="H29" s="360"/>
      <c r="I29" s="360"/>
      <c r="J29" s="76"/>
    </row>
    <row r="30" spans="1:10" ht="12.75">
      <c r="A30" s="75"/>
      <c r="B30" s="76"/>
      <c r="C30" s="360"/>
      <c r="D30" s="360"/>
      <c r="E30" s="360"/>
      <c r="F30" s="360"/>
      <c r="G30" s="360"/>
      <c r="H30" s="360"/>
      <c r="I30" s="360"/>
      <c r="J30" s="76"/>
    </row>
    <row r="31" spans="1:10" ht="12">
      <c r="A31" s="361"/>
      <c r="B31" s="360"/>
      <c r="C31" s="360"/>
      <c r="D31" s="360"/>
      <c r="E31" s="360"/>
      <c r="F31" s="360"/>
      <c r="G31" s="360"/>
      <c r="H31" s="360"/>
      <c r="I31" s="360"/>
      <c r="J31" s="360"/>
    </row>
    <row r="32" spans="1:10" ht="12">
      <c r="A32" s="361"/>
      <c r="B32" s="360"/>
      <c r="C32" s="360"/>
      <c r="D32" s="360"/>
      <c r="E32" s="76"/>
      <c r="F32" s="76"/>
      <c r="G32" s="76"/>
      <c r="H32" s="76"/>
      <c r="I32" s="76"/>
      <c r="J32" s="360"/>
    </row>
    <row r="33" spans="1:10" ht="12">
      <c r="A33" s="361"/>
      <c r="B33" s="360"/>
      <c r="C33" s="360"/>
      <c r="D33" s="360"/>
      <c r="E33" s="360"/>
      <c r="F33" s="360"/>
      <c r="G33" s="360"/>
      <c r="H33" s="360"/>
      <c r="I33" s="360"/>
      <c r="J33" s="360"/>
    </row>
    <row r="34" spans="1:10" ht="12">
      <c r="A34" s="361"/>
      <c r="B34" s="360"/>
      <c r="C34" s="76"/>
      <c r="D34" s="76"/>
      <c r="E34" s="360"/>
      <c r="F34" s="360"/>
      <c r="G34" s="360"/>
      <c r="H34" s="360"/>
      <c r="I34" s="360"/>
      <c r="J34" s="360"/>
    </row>
    <row r="35" spans="1:10" ht="12.75">
      <c r="A35" s="75"/>
      <c r="B35" s="76"/>
      <c r="C35" s="359"/>
      <c r="D35" s="359"/>
      <c r="E35" s="360"/>
      <c r="F35" s="360"/>
      <c r="G35" s="360"/>
      <c r="H35" s="360"/>
      <c r="I35" s="360"/>
      <c r="J35" s="76"/>
    </row>
    <row r="36" spans="1:10" ht="12">
      <c r="A36" s="361"/>
      <c r="B36" s="360"/>
      <c r="C36" s="360"/>
      <c r="D36" s="360"/>
      <c r="E36" s="360"/>
      <c r="F36" s="360"/>
      <c r="G36" s="360"/>
      <c r="H36" s="360"/>
      <c r="I36" s="360"/>
      <c r="J36" s="78"/>
    </row>
    <row r="37" spans="1:10" ht="12">
      <c r="A37" s="361"/>
      <c r="B37" s="360"/>
      <c r="C37" s="360"/>
      <c r="D37" s="360"/>
      <c r="E37" s="360"/>
      <c r="F37" s="360"/>
      <c r="G37" s="360"/>
      <c r="H37" s="360"/>
      <c r="I37" s="360"/>
      <c r="J37" s="78"/>
    </row>
    <row r="38" spans="1:10" ht="21" customHeight="1">
      <c r="A38" s="79"/>
      <c r="B38" s="356"/>
      <c r="C38" s="357"/>
      <c r="D38" s="357"/>
      <c r="E38" s="357"/>
      <c r="F38" s="357"/>
      <c r="G38" s="357"/>
      <c r="H38" s="357"/>
      <c r="I38" s="357"/>
      <c r="J38" s="80"/>
    </row>
    <row r="39" spans="1:10" ht="15">
      <c r="A39" s="358"/>
      <c r="B39" s="358"/>
      <c r="C39" s="358"/>
      <c r="D39" s="358"/>
      <c r="E39" s="358"/>
      <c r="F39" s="358"/>
      <c r="G39" s="358"/>
      <c r="H39" s="358"/>
      <c r="I39" s="358"/>
      <c r="J39" s="358"/>
    </row>
    <row r="40" spans="1:10" ht="15">
      <c r="A40" s="358"/>
      <c r="B40" s="358"/>
      <c r="C40" s="358"/>
      <c r="D40" s="358"/>
      <c r="E40" s="358"/>
      <c r="F40" s="358"/>
      <c r="G40" s="358"/>
      <c r="H40" s="358"/>
      <c r="I40" s="358"/>
      <c r="J40" s="358"/>
    </row>
  </sheetData>
  <sheetProtection password="F7AF" sheet="1"/>
  <mergeCells count="52">
    <mergeCell ref="A23:A24"/>
    <mergeCell ref="C23:D24"/>
    <mergeCell ref="E23:F23"/>
    <mergeCell ref="G23:I24"/>
    <mergeCell ref="A19:G19"/>
    <mergeCell ref="G27:I27"/>
    <mergeCell ref="J23:J24"/>
    <mergeCell ref="G25:I25"/>
    <mergeCell ref="J25:J26"/>
    <mergeCell ref="E24:F24"/>
    <mergeCell ref="B9:J9"/>
    <mergeCell ref="B10:J10"/>
    <mergeCell ref="A25:A26"/>
    <mergeCell ref="B25:B26"/>
    <mergeCell ref="C25:D26"/>
    <mergeCell ref="E25:F26"/>
    <mergeCell ref="C28:D28"/>
    <mergeCell ref="E28:F28"/>
    <mergeCell ref="C27:D27"/>
    <mergeCell ref="E27:F27"/>
    <mergeCell ref="G28:I28"/>
    <mergeCell ref="C29:D29"/>
    <mergeCell ref="E29:F29"/>
    <mergeCell ref="G29:I29"/>
    <mergeCell ref="G30:I30"/>
    <mergeCell ref="A31:A32"/>
    <mergeCell ref="B31:B32"/>
    <mergeCell ref="C31:D32"/>
    <mergeCell ref="E31:F31"/>
    <mergeCell ref="G31:I31"/>
    <mergeCell ref="C30:D30"/>
    <mergeCell ref="E30:F30"/>
    <mergeCell ref="A33:A34"/>
    <mergeCell ref="B33:B34"/>
    <mergeCell ref="C33:D33"/>
    <mergeCell ref="E33:F34"/>
    <mergeCell ref="B37:D37"/>
    <mergeCell ref="E37:F37"/>
    <mergeCell ref="G37:I37"/>
    <mergeCell ref="J31:J32"/>
    <mergeCell ref="G33:I34"/>
    <mergeCell ref="J33:J34"/>
    <mergeCell ref="B38:I38"/>
    <mergeCell ref="A39:J39"/>
    <mergeCell ref="A40:J40"/>
    <mergeCell ref="C35:D35"/>
    <mergeCell ref="E35:F35"/>
    <mergeCell ref="G35:I35"/>
    <mergeCell ref="A36:A37"/>
    <mergeCell ref="B36:D36"/>
    <mergeCell ref="E36:F36"/>
    <mergeCell ref="G36:I36"/>
  </mergeCells>
  <printOptions horizontalCentered="1" verticalCentered="1"/>
  <pageMargins left="0.5905511811023623" right="0.5905511811023623" top="0.7874015748031497" bottom="0.7874015748031497" header="0.5118110236220472" footer="0.5118110236220472"/>
  <pageSetup cellComments="asDisplayed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20 KM</dc:title>
  <dc:subject>Logiciel Zatopek.be</dc:subject>
  <dc:creator>Roger IGO</dc:creator>
  <cp:keywords/>
  <dc:description/>
  <cp:lastModifiedBy>Emil Zatopek</cp:lastModifiedBy>
  <cp:lastPrinted>2009-11-04T17:54:10Z</cp:lastPrinted>
  <dcterms:created xsi:type="dcterms:W3CDTF">2002-01-09T20:52:19Z</dcterms:created>
  <dcterms:modified xsi:type="dcterms:W3CDTF">2015-06-04T13:29:22Z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