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700" windowWidth="26280" windowHeight="17780" tabRatio="629" activeTab="0"/>
  </bookViews>
  <sheets>
    <sheet name="Accueil" sheetId="1" r:id="rId1"/>
    <sheet name="Etalonnage" sheetId="2" r:id="rId2"/>
    <sheet name="10 Km 5 ent." sheetId="3" r:id="rId3"/>
    <sheet name="10 Km 4 ent." sheetId="4" r:id="rId4"/>
    <sheet name="10 Km 3 ent." sheetId="5" r:id="rId5"/>
    <sheet name="constantes" sheetId="6" r:id="rId6"/>
    <sheet name="VMA" sheetId="7" r:id="rId7"/>
  </sheets>
  <externalReferences>
    <externalReference r:id="rId10"/>
    <externalReference r:id="rId11"/>
  </externalReferences>
  <definedNames>
    <definedName name="_60__Endurance_facile">#REF!</definedName>
    <definedName name="_sem12">#REF!</definedName>
    <definedName name="_vo2">'Etalonnage'!$B$15</definedName>
    <definedName name="al_marathon">'Etalonnage'!$E$18</definedName>
    <definedName name="al_semi">'constantes'!$D$27</definedName>
    <definedName name="allure_vma">'Etalonnage'!$B$19</definedName>
    <definedName name="allure_vma_sec">'Etalonnage'!$B$21</definedName>
    <definedName name="C3.1">#REF!</definedName>
    <definedName name="C3.2">#REF!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 localSheetId="6">'[1]Etalonnage'!#REF!</definedName>
    <definedName name="date_10">'Etalonnage'!#REF!</definedName>
    <definedName name="dist_marathon">'constantes'!$B$30</definedName>
    <definedName name="dist_semi">'constantes'!$B$31</definedName>
    <definedName name="dist_vma">'Etalonnage'!$B$18</definedName>
    <definedName name="dist_vma_min">'constantes'!$B$29</definedName>
    <definedName name="endurance" localSheetId="6">'[1]Etalonnage'!#REF!</definedName>
    <definedName name="endurance">'Etalonnage'!#REF!</definedName>
    <definedName name="facile">'constantes'!$D$28</definedName>
    <definedName name="fc_100">'constantes'!$D$24</definedName>
    <definedName name="fc_1000">'constantes'!$B$23</definedName>
    <definedName name="fc_1200">'constantes'!$B$16</definedName>
    <definedName name="fc_150">'constantes'!$B$19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800">'constantes'!$B$15</definedName>
    <definedName name="fc_900">'constantes'!$D$22</definedName>
    <definedName name="fc_ana" localSheetId="6">'[1]Etalonnage'!#REF!</definedName>
    <definedName name="fc_ana">'Etalonnage'!#REF!</definedName>
    <definedName name="fc_competition">'constantes'!$D$16</definedName>
    <definedName name="fc_endur" localSheetId="6">'[1]Etalonnage'!#REF!</definedName>
    <definedName name="fc_endur">'Etalonnage'!#REF!</definedName>
    <definedName name="fc_marathon">'Etalonnage'!$C$23</definedName>
    <definedName name="fc_max">'Etalonnage'!$C$17</definedName>
    <definedName name="fc_repos">'Etalonnage'!$C$16</definedName>
    <definedName name="fc_reserve">'constantes'!$D$30</definedName>
    <definedName name="fc_semi">'constantes'!$B$17</definedName>
    <definedName name="fc_vma">'constantes'!$D$17</definedName>
    <definedName name="fc_x">'constantes'!$D$23</definedName>
    <definedName name="ind_vma">'constantes'!$B$28</definedName>
    <definedName name="k_10">'constantes'!$B$27</definedName>
    <definedName name="k_aero">'constantes'!$B$22</definedName>
    <definedName name="k_anaero">'constantes'!$B$21</definedName>
    <definedName name="K_facile">'constantes'!$B$33</definedName>
    <definedName name="k_marat">'constantes'!$B$25</definedName>
    <definedName name="k_recup">'constantes'!$B$24</definedName>
    <definedName name="k_semi">'constantes'!$B$26</definedName>
    <definedName name="K_test">'constantes'!$B$32</definedName>
    <definedName name="k_vma">'constantes'!$B$20</definedName>
    <definedName name="marathon">'Etalonnage'!$E$18</definedName>
    <definedName name="mdate">'Etalonnage'!$E$10</definedName>
    <definedName name="objectif">'Etalonnage'!$E$9</definedName>
    <definedName name="Puls">'constantes'!$D$31</definedName>
    <definedName name="R_100">'constantes'!$F$10</definedName>
    <definedName name="R_1000">'constantes'!$F$15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'Etalonnage'!$B$22</definedName>
    <definedName name="serie_100" localSheetId="4">'10 Km 3 ent.'!$G$7</definedName>
    <definedName name="serie_100" localSheetId="2">'10 Km 5 ent.'!$G$7</definedName>
    <definedName name="serie_100">'10 Km 4 ent.'!$G$7</definedName>
    <definedName name="seuil">'constantes'!$D$29</definedName>
    <definedName name="seuil_aero" localSheetId="6">'[1]Etalonnage'!#REF!</definedName>
    <definedName name="seuil_aero">'Etalonnage'!#REF!</definedName>
    <definedName name="seuil_ana" localSheetId="6">'[1]Etalonnage'!#REF!</definedName>
    <definedName name="seuil_ana">'Etalonnage'!#REF!</definedName>
    <definedName name="seuil_ana_obj" localSheetId="6">'[1]Etalonnage'!#REF!</definedName>
    <definedName name="seuil_ana_obj">'Etalonnage'!#REF!</definedName>
    <definedName name="T_100">'constantes'!$D$10</definedName>
    <definedName name="T_1000">'constantes'!$D$15</definedName>
    <definedName name="T_10k">'constantes'!$D$25</definedName>
    <definedName name="t_200">'constantes'!$D$11</definedName>
    <definedName name="T_300">'constantes'!$D$12</definedName>
    <definedName name="t_3000">'constantes'!$D$19</definedName>
    <definedName name="T_400">'constantes'!$D$13</definedName>
    <definedName name="t_4000">'constantes'!$D$20</definedName>
    <definedName name="T_500">'constantes'!$D$14</definedName>
    <definedName name="T_semi">'constantes'!$D$26</definedName>
    <definedName name="t_th_marathon">'Etalonnage'!$B$24</definedName>
    <definedName name="t_th_semi" localSheetId="6">'[1]Etalonnage'!#REF!</definedName>
    <definedName name="t_th_semi">'Etalonnage'!#REF!</definedName>
    <definedName name="t_x">'constantes'!$D$21</definedName>
    <definedName name="TABLE" localSheetId="6">'VMA'!$G$26:$I$26</definedName>
    <definedName name="TABLE">#REF!</definedName>
    <definedName name="TABLE_2" localSheetId="6">'VMA'!$E$32:$F$32</definedName>
    <definedName name="TABLE_2">#REF!</definedName>
    <definedName name="TABLE_3" localSheetId="6">'VMA'!$G$32:$I$32</definedName>
    <definedName name="TABLE_3">#REF!</definedName>
    <definedName name="TABLE_4" localSheetId="6">'VMA'!$C$34:$D$34</definedName>
    <definedName name="TABLE_4">#REF!</definedName>
    <definedName name="TABLE_5" localSheetId="6">'VMA'!$A$23:$J$38</definedName>
    <definedName name="TABLE_5">#REF!</definedName>
    <definedName name="theo_marathon">'Etalonnage'!$B$23</definedName>
    <definedName name="v_vma">'Etalonnage'!$E$15</definedName>
    <definedName name="v_vma_obj_kmh">'Etalonnage'!$E$16</definedName>
    <definedName name="vma_10" localSheetId="6">'[2]constantes'!#REF!</definedName>
    <definedName name="vma_10">'constantes'!#REF!</definedName>
    <definedName name="vma_100" localSheetId="6">'[2]constantes'!#REF!</definedName>
    <definedName name="vma_100">'constantes'!#REF!</definedName>
    <definedName name="vma_1000_obj">'Etalonnage'!$E$14</definedName>
    <definedName name="vma_200" localSheetId="6">'[2]constantes'!#REF!</definedName>
    <definedName name="vma_200">'constantes'!#REF!</definedName>
    <definedName name="VMA_kmh">'Etalonnage'!$B$20</definedName>
    <definedName name="vma_obj_km">'Etalonnage'!$E$13</definedName>
    <definedName name="z_travail">'constantes'!$B$18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 xml:space="preserve">CAT test est couru sur 2000m
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un CAT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Le CAT Test est un test sur piste à allure constante, réalisé au maximum de vos possibilités.
</t>
        </r>
      </text>
    </comment>
    <comment ref="B10" authorId="0">
      <text>
        <r>
          <rPr>
            <sz val="10"/>
            <rFont val="Arial"/>
            <family val="0"/>
          </rPr>
          <t xml:space="preserve">Le CAT Test est un test sur piste réalisé au maximum des possibilités, à allure constante. Le dernier demi-tour sera couru "à fond", ce qui permettra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>Saisissez le temps du 10 km souhaité en haut du tableau !</t>
        </r>
      </text>
    </comment>
    <comment ref="C17" authorId="0">
      <text>
        <r>
          <rPr>
            <sz val="10"/>
            <rFont val="Arial"/>
            <family val="0"/>
          </rPr>
          <t xml:space="preserve">Indiquez la FC Max obtenue durant le test, 220 - l'age si vous ne la connaissez pas </t>
        </r>
      </text>
    </comment>
    <comment ref="B18" authorId="0">
      <text>
        <r>
          <rPr>
            <sz val="10"/>
            <rFont val="Arial"/>
            <family val="0"/>
          </rPr>
          <t>Distance entre 100 &amp; 1000 mètres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2"/>
          </rPr>
          <t>Pour réaliser cet objectif, il faut réaliser au minimum au CAT test:</t>
        </r>
        <r>
          <rPr>
            <sz val="8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VMA:
Vitesse Maximum Aerobie.
</t>
        </r>
        <r>
          <rPr>
            <sz val="8"/>
            <rFont val="Tahoma"/>
            <family val="2"/>
          </rPr>
          <t>Vos allures de courses sont calculées en % de cette vitesse (voir Feuille "VMA")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2"/>
          </rPr>
          <t xml:space="preserve">C'est la valeur que vous avez trouvé cellule B14  Feuille Etalonnage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<sst xmlns="http://schemas.openxmlformats.org/spreadsheetml/2006/main" count="773" uniqueCount="293">
  <si>
    <t>Ne modifiez ces constantes que si vous êtes sûr de ce que vous faites!!</t>
  </si>
  <si>
    <t>Footing rapide</t>
  </si>
  <si>
    <t>Allures intervalles</t>
  </si>
  <si>
    <t>Fractionné</t>
  </si>
  <si>
    <t>zone verte</t>
  </si>
  <si>
    <t>zone jaune</t>
  </si>
  <si>
    <t>zone orange</t>
  </si>
  <si>
    <t>Zone rouge</t>
  </si>
  <si>
    <t>anaérobie</t>
  </si>
  <si>
    <t>Zones d'entraînements : vitesses, temps, fréquences cardiaques</t>
  </si>
  <si>
    <t>et procédés d'entraînements associés</t>
  </si>
  <si>
    <t>Saisissez vos paramètres dans les cases en jaunes</t>
  </si>
  <si>
    <t xml:space="preserve">Saisissez votre fréquence cardiaque maxi: </t>
  </si>
  <si>
    <t xml:space="preserve">Saisissez votre fréquence cardiaque au repos (debout): </t>
  </si>
  <si>
    <t>aérobie</t>
  </si>
  <si>
    <t>Filière :</t>
  </si>
  <si>
    <t>Votre VMA (m/sec):</t>
  </si>
  <si>
    <t>Les cases à saisir sont en jaune</t>
  </si>
  <si>
    <t xml:space="preserve">Le plan vous propose alors 3 possibilités: </t>
  </si>
  <si>
    <t>60' ENDURANCE</t>
  </si>
  <si>
    <t>45' ENDURANCE</t>
  </si>
  <si>
    <t>Entrez votre</t>
  </si>
  <si>
    <t>VMA</t>
  </si>
  <si>
    <t>km/h</t>
  </si>
  <si>
    <t>TEMPS DE PASSAGE AUX :</t>
  </si>
  <si>
    <t>% souhaités</t>
  </si>
  <si>
    <t>distances (en mètres) choisies par l'entraîneur</t>
  </si>
  <si>
    <t>de la VMA</t>
  </si>
  <si>
    <t>Pour une autre distance :</t>
  </si>
  <si>
    <t>% choisi :</t>
  </si>
  <si>
    <t>distance :</t>
  </si>
  <si>
    <t>mètres</t>
  </si>
  <si>
    <t>Temps :</t>
  </si>
  <si>
    <t>footing</t>
  </si>
  <si>
    <t>Intervalles</t>
  </si>
  <si>
    <t>(seuil)</t>
  </si>
  <si>
    <t>vitesses (%VMA)</t>
  </si>
  <si>
    <t>80-85%</t>
  </si>
  <si>
    <t>110% et +</t>
  </si>
  <si>
    <t>ou VO2</t>
  </si>
  <si>
    <t>seuil</t>
  </si>
  <si>
    <t>Fréquence cardiaque % max</t>
  </si>
  <si>
    <t>maximale</t>
  </si>
  <si>
    <t>temps maximal</t>
  </si>
  <si>
    <t>+ 3 heures</t>
  </si>
  <si>
    <t>45'-1h</t>
  </si>
  <si>
    <t>6-7'</t>
  </si>
  <si>
    <t>5' et -</t>
  </si>
  <si>
    <t>de course</t>
  </si>
  <si>
    <t>distances</t>
  </si>
  <si>
    <t>1500m</t>
  </si>
  <si>
    <t>2-3 km</t>
  </si>
  <si>
    <t> </t>
  </si>
  <si>
    <t>exemple vitesse</t>
  </si>
  <si>
    <t>.8-9 km/h</t>
  </si>
  <si>
    <t>12-13 km/h</t>
  </si>
  <si>
    <t>15 km/h</t>
  </si>
  <si>
    <t>16 km/h</t>
  </si>
  <si>
    <t>zones d'entraînement</t>
  </si>
  <si>
    <t>FC</t>
  </si>
  <si>
    <t xml:space="preserve">REPOS </t>
  </si>
  <si>
    <t>Paramètres correspondants à l'objectif choisi:</t>
  </si>
  <si>
    <t>VMA sur 1000m (hh:mn:sec):</t>
  </si>
  <si>
    <t>Cycle 1</t>
  </si>
  <si>
    <t>Cycle 2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</si>
  <si>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</si>
  <si>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</si>
  <si>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</si>
  <si>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</si>
  <si>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</si>
  <si>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</si>
  <si>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</si>
  <si>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</si>
  <si>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Saisissez le temps réalisé au CAT Test (hh:mm:ss) :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</si>
  <si>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</si>
  <si>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</si>
  <si>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</si>
  <si>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</si>
  <si>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</si>
  <si>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</si>
  <si>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</si>
  <si>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</si>
  <si>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</si>
  <si>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</si>
  <si>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</si>
  <si>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</si>
  <si>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</si>
  <si>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</si>
  <si>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</si>
  <si>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</si>
  <si>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</si>
  <si>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</si>
  <si>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</si>
  <si>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</si>
  <si>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</si>
  <si>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</si>
  <si>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</si>
  <si>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</si>
  <si>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Sur quelle distance voulez-vous connaître votre allure VMA (metres)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</si>
  <si>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</si>
  <si>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</si>
  <si>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</si>
  <si>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</si>
  <si>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</si>
  <si>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</si>
  <si>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</si>
  <si>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</si>
  <si>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k_marat</t>
  </si>
  <si>
    <t>fc_100</t>
  </si>
  <si>
    <t>k_semi</t>
  </si>
  <si>
    <t>T_10k</t>
  </si>
  <si>
    <t>Allure de récupération:</t>
  </si>
  <si>
    <t>k_10</t>
  </si>
  <si>
    <t>T_semi</t>
  </si>
  <si>
    <t>ind_vma</t>
  </si>
  <si>
    <t>al_semi</t>
  </si>
  <si>
    <t>dist_vma_min</t>
  </si>
  <si>
    <t>facile</t>
  </si>
  <si>
    <t>dist_marathon</t>
  </si>
  <si>
    <t>Recommandations</t>
  </si>
  <si>
    <t>Entrainement à allure VMA</t>
  </si>
  <si>
    <t>séance d'intervalles</t>
  </si>
  <si>
    <t>séance VMA</t>
  </si>
  <si>
    <t>Jaune foncé</t>
  </si>
  <si>
    <t>Bleu foncé</t>
  </si>
  <si>
    <t>50' ENDURANCE</t>
  </si>
  <si>
    <t>TPS</t>
  </si>
  <si>
    <t>fc_300</t>
  </si>
  <si>
    <t>fc_800</t>
  </si>
  <si>
    <t>fc_1200</t>
  </si>
  <si>
    <t xml:space="preserve">Si vous vous sentez fatigué, levez le pied ou sautez une séance. 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</si>
  <si>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</si>
  <si>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</si>
  <si>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</si>
  <si>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</si>
  <si>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</si>
  <si>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</si>
  <si>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</si>
  <si>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</si>
  <si>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</si>
  <si>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</si>
  <si>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</si>
  <si>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</si>
  <si>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r>
      <t xml:space="preserve">Séances </t>
    </r>
    <r>
      <rPr>
        <b/>
        <u val="single"/>
        <sz val="10"/>
        <color indexed="9"/>
        <rFont val="Verdana"/>
        <family val="2"/>
      </rPr>
      <t>:</t>
    </r>
    <r>
      <rPr>
        <sz val="10"/>
        <rFont val="Verdana"/>
        <family val="2"/>
      </rPr>
      <t xml:space="preserve"> le type d' allure visé  détermine la couleur de la case ou se situe la séance</t>
    </r>
  </si>
  <si>
    <t>Avant tout il est nécessaire de se connaître un peu:</t>
  </si>
  <si>
    <t>Il est donc nécessaire de commencer par un test de terrain, pratiqué sur piste de préférence.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</si>
  <si>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</si>
  <si>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</si>
  <si>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</si>
  <si>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</si>
  <si>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r>
      <t xml:space="preserve">Votre </t>
    </r>
    <r>
      <rPr>
        <b/>
        <sz val="8"/>
        <color indexed="8"/>
        <rFont val="Arial"/>
        <family val="2"/>
      </rPr>
      <t>VMA</t>
    </r>
    <r>
      <rPr>
        <sz val="8"/>
        <color indexed="8"/>
        <rFont val="Arial"/>
        <family val="2"/>
      </rPr>
      <t xml:space="preserve"> (Km/heure):</t>
    </r>
  </si>
  <si>
    <t>MER.</t>
  </si>
  <si>
    <t>VEN.</t>
  </si>
  <si>
    <t>SAM.</t>
  </si>
  <si>
    <t>DIM.</t>
  </si>
  <si>
    <t>JEU.</t>
  </si>
  <si>
    <t>MAR.</t>
  </si>
  <si>
    <t>LUN.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</si>
  <si>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</si>
  <si>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</si>
  <si>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L'utilisation du programme commence par le feuillet </t>
    </r>
    <r>
      <rPr>
        <b/>
        <sz val="10"/>
        <color indexed="20"/>
        <rFont val="Arial"/>
        <family val="2"/>
      </rPr>
      <t>Etalonnage</t>
    </r>
  </si>
  <si>
    <r>
      <t xml:space="preserve">Les plans sont structurés sur </t>
    </r>
    <r>
      <rPr>
        <b/>
        <sz val="9"/>
        <color indexed="62"/>
        <rFont val="Verdana"/>
        <family val="2"/>
      </rPr>
      <t>3 périodes de 4 semaines</t>
    </r>
    <r>
      <rPr>
        <b/>
        <sz val="9"/>
        <rFont val="Verdana"/>
        <family val="2"/>
      </rPr>
      <t xml:space="preserve"> :</t>
    </r>
  </si>
  <si>
    <t>LEGENDE</t>
  </si>
  <si>
    <r>
      <t>30'ECH+10X400M R</t>
    </r>
    <r>
      <rPr>
        <sz val="8"/>
        <rFont val="Arial Narrow"/>
        <family val="2"/>
      </rPr>
      <t>ECUP 1'</t>
    </r>
  </si>
  <si>
    <t>COULEUR DE LA CASE</t>
  </si>
  <si>
    <t>TYPE D' ENTRAÎNEMENT</t>
  </si>
  <si>
    <t>INFORMATIONS ANNEXES</t>
  </si>
  <si>
    <t>Temps final + FC de base</t>
  </si>
  <si>
    <t xml:space="preserve">Vitesse au Km + FC de base </t>
  </si>
  <si>
    <t xml:space="preserve">Temps + FC des exercices </t>
  </si>
  <si>
    <t>Distance + FC des exercices</t>
  </si>
  <si>
    <t>On y a intercalé des compétitions (facultatives) qui sont à réaliser sans soucis de performances maximum</t>
  </si>
  <si>
    <r>
      <t xml:space="preserve">Vos objectifs : </t>
    </r>
    <r>
      <rPr>
        <b/>
        <sz val="10"/>
        <color indexed="20"/>
        <rFont val="Arial"/>
        <family val="2"/>
      </rPr>
      <t>(soyez réaliste!)</t>
    </r>
  </si>
  <si>
    <t>Programme de planification d'entrainement pour le 10 Km.</t>
  </si>
  <si>
    <t>REALISATION DU TEST :</t>
  </si>
  <si>
    <r>
      <t xml:space="preserve">Il s'agit de courir </t>
    </r>
    <r>
      <rPr>
        <b/>
        <u val="single"/>
        <sz val="8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rFont val="Verdana"/>
        <family val="2"/>
      </rPr>
      <t>à allure constante</t>
    </r>
    <r>
      <rPr>
        <sz val="8"/>
        <rFont val="Verdana"/>
        <family val="2"/>
      </rPr>
      <t xml:space="preserve"> puis en parcourant les 200 derniers mètres "à fond"</t>
    </r>
  </si>
  <si>
    <r>
      <t xml:space="preserve">Ces chiffres vous indiquent votre </t>
    </r>
    <r>
      <rPr>
        <b/>
        <u val="single"/>
        <sz val="8"/>
        <rFont val="Verdana"/>
        <family val="2"/>
      </rPr>
      <t>niveau actuel</t>
    </r>
    <r>
      <rPr>
        <sz val="8"/>
        <rFont val="Verdana"/>
        <family val="2"/>
      </rPr>
      <t>.</t>
    </r>
  </si>
  <si>
    <r>
      <t xml:space="preserve">Vous profiterez de ce test pour mesurer votre </t>
    </r>
    <r>
      <rPr>
        <b/>
        <u val="single"/>
        <sz val="8"/>
        <rFont val="Verdana"/>
        <family val="2"/>
      </rPr>
      <t xml:space="preserve">fréquence cardiaque maxi </t>
    </r>
    <r>
      <rPr>
        <sz val="8"/>
        <rFont val="Verdana"/>
        <family val="2"/>
      </rPr>
      <t>(en fin de test)</t>
    </r>
  </si>
  <si>
    <t>Comme vous pouvez souhaiter préparer un 10 Km pour un résultat différent de ce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</si>
  <si>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Attention, restez les pieds sur terre, il ne faut pas s'écarter trop largement du temps calculé  </t>
    </r>
  </si>
  <si>
    <t xml:space="preserve">séance spécifique à vitesse de l'OBJECTIF </t>
  </si>
  <si>
    <t>Votre objectif sur 10 Km (hh:mm:ss)</t>
  </si>
  <si>
    <t>date de l'épreuve :</t>
  </si>
  <si>
    <t>Le 10 Km devra être couru à (mn:sec) / Kms:</t>
  </si>
  <si>
    <t>Allure théorique 10 Km:</t>
  </si>
  <si>
    <t>Votre temps théorique sur 10 Km:</t>
  </si>
  <si>
    <t>10 Km    :        OBJECTIF</t>
  </si>
  <si>
    <t>Test 10 Km seul ou sur compétition</t>
  </si>
  <si>
    <t>compétition ou assimilé</t>
  </si>
  <si>
    <t>30' END+VMA 2x         (5x60"/60")/4'récup</t>
  </si>
  <si>
    <t>30' END+VMA 3x      (7x15"/15")/4'récup</t>
  </si>
  <si>
    <t>30' END+VMA 2x      (6x40"/40")/4'récup</t>
  </si>
  <si>
    <t>30' END+VMA 2x     (6x30"/30")/4'récup</t>
  </si>
  <si>
    <t>30' END+VMA 2x    (10x20"/20")/4'récup</t>
  </si>
  <si>
    <t>40' ENDURANCE   + 3 déboulés</t>
  </si>
  <si>
    <r>
      <t>20'ECH+6X300M RECUP = 1'30"</t>
    </r>
  </si>
  <si>
    <t>30'ECH+3X1000M   RECUP = 4' 00"</t>
  </si>
  <si>
    <t>55' ENDURANCE</t>
  </si>
  <si>
    <t>50' ENDURANCE   + 3 déboulés</t>
  </si>
  <si>
    <t>45'END dont 3X : 80M / Recup 80 M</t>
  </si>
  <si>
    <t>Compétition "contrôle" 10KM</t>
  </si>
  <si>
    <t>Sortie cool                     de 1H00' à 1H05'</t>
  </si>
  <si>
    <t>Sortie cool                     de 50'</t>
  </si>
  <si>
    <t>Sortie cool                     de 55'</t>
  </si>
  <si>
    <t>Sortie cool                     de 55' à 1H00</t>
  </si>
  <si>
    <t>Sortie cool                     de 55' à 1H05'</t>
  </si>
  <si>
    <t>30' END+VMA 3x      (6x20"/20")/4'récup</t>
  </si>
  <si>
    <t>25'ECH + 5 x 1000M RECUP = 3' 30"</t>
  </si>
  <si>
    <r>
      <t>20'ECH + 5 X 900M RECUP = 3' 00"</t>
    </r>
  </si>
  <si>
    <r>
      <t>20'ECH + 6 X 300M RECUP = 1'30"</t>
    </r>
  </si>
  <si>
    <r>
      <t>30'ECH+6 X 500M RECUP = 2' 30"</t>
    </r>
  </si>
  <si>
    <r>
      <t>30'ECH + 8 X 200M RECUP = 2' 00"</t>
    </r>
  </si>
  <si>
    <t>25' ECH + 7 x 300M RECUP = 2' 40 "</t>
  </si>
  <si>
    <t>25'ECH + 10 X 150M RECUP = 1'30"</t>
  </si>
  <si>
    <t>25'ECH + 9 x 200M RECUP = 2' 00"</t>
  </si>
  <si>
    <r>
      <t>25' ECH + 6 X 500M RECUP = 3' 00"</t>
    </r>
  </si>
  <si>
    <t>20'ECH + 5 X 400M RECUP = 3' 00"</t>
  </si>
  <si>
    <t>30' END + 2 x 6'      Récup 3' - 10' END</t>
  </si>
  <si>
    <t>20' END + 5 x 5'      Récup 2' - 10' END</t>
  </si>
  <si>
    <t>20' END + 8 x 3'     Récup 1' - 10' END</t>
  </si>
  <si>
    <t>25' END + 5 x 4'      Récup 1' - 10' END</t>
  </si>
  <si>
    <t>Un plan sur 3 séances hebdomadaires</t>
  </si>
  <si>
    <t>30' END + 7 x 2'      Récup 1' - 10' END</t>
  </si>
  <si>
    <t>20' END + 6 x 3'      Récup 2' - 10' END</t>
  </si>
  <si>
    <t>25' END + 3 x 1000m      Récup 3' - 10' END</t>
  </si>
  <si>
    <t>35'END - 4 x 3'        Récup 2' - 10' END</t>
  </si>
  <si>
    <t>30'END - 4 x 4'         Récup 3' - 10' END</t>
  </si>
  <si>
    <t>25'END - 6 x 3'        Récup 3' - 10' END</t>
  </si>
  <si>
    <t>25'END - 5 x 4'         Récup 2' - 10' END</t>
  </si>
  <si>
    <t>30'END - 3 x 5'        Récup 3' - 10' END</t>
  </si>
  <si>
    <t>30'END - 6 x 2'        Récup 1' - 10' END</t>
  </si>
  <si>
    <t>30'END - 3 x 3'         Récup 3' - 10' END</t>
  </si>
  <si>
    <t>30'END - 5 x 2'         Récup 2' - 10' END</t>
  </si>
  <si>
    <t>25'END - 7 x 1'         Récup 2' - 10' END</t>
  </si>
  <si>
    <t>35' END - 7 x 1'      Récup 1' - 10' END</t>
  </si>
  <si>
    <t>25' END - 6 x 2'       Récup 2' - 10' END</t>
  </si>
  <si>
    <t>30' END - 4 x 3'       Récup 2' - 10' END</t>
  </si>
  <si>
    <t>Sortie cool                     de 1H05' à 1H15'</t>
  </si>
  <si>
    <t>Sortie cool                     de 1H10'</t>
  </si>
  <si>
    <t xml:space="preserve">Sortie cool                     de 55' </t>
  </si>
  <si>
    <t>Sortie cool                     de 1H05' à 1H10'</t>
  </si>
  <si>
    <t>Sortie cool                     de 1h00' à 1H05'</t>
  </si>
  <si>
    <t>50' ENDURANCE           + 3 déboulés</t>
  </si>
  <si>
    <t>Sortie cool                     de 1H00</t>
  </si>
  <si>
    <t>Sortie cool                     de 01h00' à 1H05'</t>
  </si>
  <si>
    <t>55 ENDURANCE</t>
  </si>
  <si>
    <t>25'ECH + 6 x 1000M RECUP = 3' 30"</t>
  </si>
  <si>
    <r>
      <t>25' ECH + 8 X 500M RECUP = 3' 00"</t>
    </r>
  </si>
  <si>
    <t>25'ECH +                           2 x : (6x 200M/ r = 2')                   RECUP = 5' 00"</t>
  </si>
  <si>
    <t>20'ECH + 6 X 400M RECUP = 2' 30"</t>
  </si>
  <si>
    <t>25' ECH + 10 x 300M RECUP = 2' 00 "</t>
  </si>
  <si>
    <t>25'ECH +                           2 x : (6x 150M/ r = 2')                   RECUP = 5' 00"</t>
  </si>
  <si>
    <t>35' END + 3 x 3'      Récup 2' - 10' END</t>
  </si>
  <si>
    <t>fc_competition</t>
  </si>
  <si>
    <t>fc_vma</t>
  </si>
  <si>
    <t>rapport</t>
  </si>
  <si>
    <t>Distance du test</t>
  </si>
  <si>
    <t>fc_reserve</t>
  </si>
  <si>
    <t>pulsations</t>
  </si>
  <si>
    <t>fc_150</t>
  </si>
  <si>
    <t>fc_1000</t>
  </si>
  <si>
    <t>fc_900</t>
  </si>
  <si>
    <t>séance d'endurance active</t>
  </si>
  <si>
    <t>séance d'endurance de base</t>
  </si>
  <si>
    <t>endurance de base</t>
  </si>
  <si>
    <t>endurance rapide</t>
  </si>
  <si>
    <t>moyen</t>
  </si>
  <si>
    <t>.70%</t>
  </si>
  <si>
    <t>.3 heures</t>
  </si>
  <si>
    <t>.marathon</t>
  </si>
  <si>
    <t>1/2 marathon</t>
  </si>
  <si>
    <t>10 miles</t>
  </si>
  <si>
    <t>10km</t>
  </si>
  <si>
    <t>Footing moyen à soutenu</t>
  </si>
  <si>
    <r>
      <t xml:space="preserve"> </t>
    </r>
    <r>
      <rPr>
        <sz val="10"/>
        <color indexed="8"/>
        <rFont val="Symbol"/>
        <family val="1"/>
      </rPr>
      <t>®</t>
    </r>
  </si>
  <si>
    <t>Le feuillet VMA permet de prévoir votre rythme pour les séances VMA.</t>
  </si>
  <si>
    <r>
      <t>ATTENTION</t>
    </r>
    <r>
      <rPr>
        <b/>
        <sz val="8"/>
        <color indexed="62"/>
        <rFont val="Arial"/>
        <family val="2"/>
      </rPr>
      <t>, même si vous êtes d'accord avec le temps prévu suite au test , placez le temps de votre objectif dans cette colonne (case E3)   !!!</t>
    </r>
  </si>
  <si>
    <r>
      <t>RESULTAT Temps :</t>
    </r>
    <r>
      <rPr>
        <sz val="8"/>
        <rFont val="Verdana"/>
        <family val="2"/>
      </rPr>
      <t xml:space="preserve"> Le chiffre que vous obtiendrez est à reporter case </t>
    </r>
    <r>
      <rPr>
        <b/>
        <u val="single"/>
        <sz val="8"/>
        <color indexed="62"/>
        <rFont val="Verdana"/>
        <family val="2"/>
      </rPr>
      <t>B10</t>
    </r>
    <r>
      <rPr>
        <b/>
        <u val="single"/>
        <sz val="8"/>
        <rFont val="Verdana"/>
        <family val="2"/>
      </rPr>
      <t>.</t>
    </r>
  </si>
  <si>
    <r>
      <t>RESULTAT FCM :</t>
    </r>
    <r>
      <rPr>
        <sz val="8"/>
        <rFont val="Verdana"/>
        <family val="2"/>
      </rPr>
      <t xml:space="preserve"> Reportez le résultat case </t>
    </r>
    <r>
      <rPr>
        <b/>
        <u val="single"/>
        <sz val="8"/>
        <color indexed="62"/>
        <rFont val="Verdana"/>
        <family val="2"/>
      </rPr>
      <t>C17</t>
    </r>
    <r>
      <rPr>
        <u val="single"/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</si>
  <si>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E9.</t>
    </r>
  </si>
  <si>
    <t>Rouge clair</t>
  </si>
  <si>
    <t>Vert clair</t>
  </si>
  <si>
    <t>Bleu clair</t>
  </si>
  <si>
    <t>Vert foncé</t>
  </si>
  <si>
    <r>
      <t xml:space="preserve">Ce test se déroule sur </t>
    </r>
    <r>
      <rPr>
        <b/>
        <sz val="8"/>
        <color indexed="62"/>
        <rFont val="Verdana"/>
        <family val="2"/>
      </rPr>
      <t>2000m ou 1500m</t>
    </r>
  </si>
  <si>
    <t>Vitesse/km + FC de l'exercice - End</t>
  </si>
  <si>
    <t>Intensité VMA</t>
  </si>
  <si>
    <t>Intensité FC</t>
  </si>
  <si>
    <t>&gt; 100%</t>
  </si>
  <si>
    <t>TPS *</t>
  </si>
  <si>
    <t>* TPS</t>
  </si>
  <si>
    <t>colonne avec mention de temps (TPS) sauf pour les entrainements VMA (bleu foncé) la colonne indique des distances en métres</t>
  </si>
  <si>
    <t xml:space="preserve">  = ou &gt;110%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</si>
</sst>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0.0"/>
    <numFmt numFmtId="201" formatCode="dd\.mm\.yy"/>
    <numFmt numFmtId="202" formatCode="0.000"/>
    <numFmt numFmtId="203" formatCode="mm:ss.00"/>
    <numFmt numFmtId="204" formatCode="[$-80C]dddd\ d\ mmmm\ yyyy"/>
    <numFmt numFmtId="205" formatCode="[$-F400]h:mm:ss\ AM/PM"/>
    <numFmt numFmtId="206" formatCode="hh:mm:ss;@"/>
    <numFmt numFmtId="207" formatCode="h:mm:ss;@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</numFmts>
  <fonts count="105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u val="single"/>
      <sz val="8"/>
      <name val="Verdana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20"/>
      <name val="Arial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9"/>
      <color indexed="62"/>
      <name val="Verdana"/>
      <family val="2"/>
    </font>
    <font>
      <b/>
      <u val="single"/>
      <sz val="10"/>
      <color indexed="62"/>
      <name val="Arial"/>
      <family val="2"/>
    </font>
    <font>
      <sz val="8.75"/>
      <color indexed="8"/>
      <name val="Arial Narrow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b/>
      <sz val="8"/>
      <color indexed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u val="single"/>
      <sz val="8"/>
      <color indexed="62"/>
      <name val="Arial"/>
      <family val="2"/>
    </font>
    <font>
      <sz val="9"/>
      <color indexed="8"/>
      <name val="Arial Narrow"/>
      <family val="2"/>
    </font>
    <font>
      <b/>
      <sz val="9"/>
      <color indexed="20"/>
      <name val="Arial Rounded MT Bold"/>
      <family val="2"/>
    </font>
    <font>
      <b/>
      <sz val="8"/>
      <color indexed="62"/>
      <name val="Arial"/>
      <family val="2"/>
    </font>
    <font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0" borderId="2" applyNumberFormat="0" applyFill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6" fillId="27" borderId="4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32" borderId="9" applyNumberFormat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2" fillId="34" borderId="11" xfId="0" applyFont="1" applyFill="1" applyBorder="1" applyAlignment="1">
      <alignment horizontal="right" wrapText="1"/>
    </xf>
    <xf numFmtId="0" fontId="32" fillId="34" borderId="12" xfId="0" applyFont="1" applyFill="1" applyBorder="1" applyAlignment="1" applyProtection="1">
      <alignment horizontal="right" wrapText="1"/>
      <protection/>
    </xf>
    <xf numFmtId="2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2" fillId="34" borderId="13" xfId="0" applyFont="1" applyFill="1" applyBorder="1" applyAlignment="1">
      <alignment horizontal="right" wrapText="1"/>
    </xf>
    <xf numFmtId="2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2" fillId="34" borderId="14" xfId="0" applyFont="1" applyFill="1" applyBorder="1" applyAlignment="1" applyProtection="1">
      <alignment horizontal="right" wrapText="1"/>
      <protection/>
    </xf>
    <xf numFmtId="20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>
      <alignment horizontal="right" vertical="center"/>
    </xf>
    <xf numFmtId="0" fontId="32" fillId="37" borderId="14" xfId="0" applyFont="1" applyFill="1" applyBorder="1" applyAlignment="1" applyProtection="1">
      <alignment horizontal="right" wrapText="1"/>
      <protection/>
    </xf>
    <xf numFmtId="1" fontId="3" fillId="36" borderId="13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3" fillId="36" borderId="13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right" vertical="center"/>
    </xf>
    <xf numFmtId="200" fontId="3" fillId="36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2" fillId="37" borderId="13" xfId="0" applyFont="1" applyFill="1" applyBorder="1" applyAlignment="1">
      <alignment horizontal="right" wrapText="1"/>
    </xf>
    <xf numFmtId="21" fontId="3" fillId="36" borderId="17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21" fontId="3" fillId="38" borderId="18" xfId="0" applyNumberFormat="1" applyFont="1" applyFill="1" applyBorder="1" applyAlignment="1">
      <alignment horizontal="center" vertical="center"/>
    </xf>
    <xf numFmtId="0" fontId="34" fillId="39" borderId="19" xfId="0" applyFont="1" applyFill="1" applyBorder="1" applyAlignment="1" applyProtection="1">
      <alignment horizontal="center" vertical="center" wrapText="1"/>
      <protection/>
    </xf>
    <xf numFmtId="1" fontId="34" fillId="39" borderId="20" xfId="0" applyNumberFormat="1" applyFont="1" applyFill="1" applyBorder="1" applyAlignment="1" applyProtection="1">
      <alignment horizontal="center" vertical="center" wrapText="1"/>
      <protection/>
    </xf>
    <xf numFmtId="206" fontId="34" fillId="39" borderId="19" xfId="0" applyNumberFormat="1" applyFont="1" applyFill="1" applyBorder="1" applyAlignment="1" applyProtection="1">
      <alignment horizontal="center" vertical="center" wrapText="1"/>
      <protection/>
    </xf>
    <xf numFmtId="205" fontId="34" fillId="39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0" borderId="22" xfId="0" applyFont="1" applyFill="1" applyBorder="1" applyAlignment="1">
      <alignment/>
    </xf>
    <xf numFmtId="0" fontId="5" fillId="41" borderId="23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9" fillId="42" borderId="27" xfId="0" applyFont="1" applyFill="1" applyBorder="1" applyAlignment="1">
      <alignment/>
    </xf>
    <xf numFmtId="0" fontId="9" fillId="42" borderId="28" xfId="0" applyFont="1" applyFill="1" applyBorder="1" applyAlignment="1">
      <alignment/>
    </xf>
    <xf numFmtId="0" fontId="8" fillId="42" borderId="29" xfId="0" applyFont="1" applyFill="1" applyBorder="1" applyAlignment="1">
      <alignment horizont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8" fillId="42" borderId="31" xfId="0" applyFont="1" applyFill="1" applyBorder="1" applyAlignment="1">
      <alignment horizontal="center"/>
    </xf>
    <xf numFmtId="0" fontId="5" fillId="35" borderId="32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>
      <alignment horizontal="center"/>
    </xf>
    <xf numFmtId="0" fontId="9" fillId="42" borderId="33" xfId="0" applyFont="1" applyFill="1" applyBorder="1" applyAlignment="1">
      <alignment/>
    </xf>
    <xf numFmtId="0" fontId="40" fillId="39" borderId="34" xfId="0" applyFont="1" applyFill="1" applyBorder="1" applyAlignment="1" applyProtection="1">
      <alignment horizontal="center" vertical="center" wrapText="1"/>
      <protection/>
    </xf>
    <xf numFmtId="0" fontId="40" fillId="39" borderId="19" xfId="0" applyFont="1" applyFill="1" applyBorder="1" applyAlignment="1" applyProtection="1">
      <alignment horizontal="center" vertical="center" wrapText="1"/>
      <protection/>
    </xf>
    <xf numFmtId="1" fontId="40" fillId="39" borderId="20" xfId="0" applyNumberFormat="1" applyFont="1" applyFill="1" applyBorder="1" applyAlignment="1" applyProtection="1">
      <alignment horizontal="center" vertical="center" wrapText="1"/>
      <protection/>
    </xf>
    <xf numFmtId="206" fontId="40" fillId="39" borderId="19" xfId="0" applyNumberFormat="1" applyFont="1" applyFill="1" applyBorder="1" applyAlignment="1" applyProtection="1">
      <alignment horizontal="center" vertical="center" wrapText="1"/>
      <protection/>
    </xf>
    <xf numFmtId="1" fontId="41" fillId="0" borderId="35" xfId="0" applyNumberFormat="1" applyFont="1" applyFill="1" applyBorder="1" applyAlignment="1">
      <alignment horizontal="center" vertical="center" wrapText="1"/>
    </xf>
    <xf numFmtId="1" fontId="41" fillId="0" borderId="36" xfId="0" applyNumberFormat="1" applyFont="1" applyFill="1" applyBorder="1" applyAlignment="1">
      <alignment horizontal="center" vertical="center" wrapText="1"/>
    </xf>
    <xf numFmtId="1" fontId="41" fillId="0" borderId="37" xfId="0" applyNumberFormat="1" applyFont="1" applyFill="1" applyBorder="1" applyAlignment="1">
      <alignment horizontal="center" vertical="center" wrapText="1"/>
    </xf>
    <xf numFmtId="45" fontId="41" fillId="0" borderId="38" xfId="0" applyNumberFormat="1" applyFont="1" applyFill="1" applyBorder="1" applyAlignment="1">
      <alignment horizontal="center" vertical="center" wrapText="1"/>
    </xf>
    <xf numFmtId="45" fontId="41" fillId="0" borderId="39" xfId="0" applyNumberFormat="1" applyFont="1" applyFill="1" applyBorder="1" applyAlignment="1">
      <alignment horizontal="center" vertical="center" wrapText="1"/>
    </xf>
    <xf numFmtId="45" fontId="41" fillId="0" borderId="40" xfId="0" applyNumberFormat="1" applyFont="1" applyFill="1" applyBorder="1" applyAlignment="1">
      <alignment horizontal="center" vertical="center" wrapText="1"/>
    </xf>
    <xf numFmtId="45" fontId="3" fillId="36" borderId="13" xfId="0" applyNumberFormat="1" applyFont="1" applyFill="1" applyBorder="1" applyAlignment="1" applyProtection="1">
      <alignment horizontal="center" vertical="center"/>
      <protection/>
    </xf>
    <xf numFmtId="0" fontId="4" fillId="43" borderId="41" xfId="0" applyFont="1" applyFill="1" applyBorder="1" applyAlignment="1">
      <alignment horizontal="center" wrapText="1"/>
    </xf>
    <xf numFmtId="0" fontId="4" fillId="43" borderId="42" xfId="0" applyFont="1" applyFill="1" applyBorder="1" applyAlignment="1">
      <alignment horizontal="center" wrapText="1"/>
    </xf>
    <xf numFmtId="0" fontId="39" fillId="44" borderId="25" xfId="0" applyFont="1" applyFill="1" applyBorder="1" applyAlignment="1">
      <alignment horizontal="center" vertical="center" wrapText="1"/>
    </xf>
    <xf numFmtId="0" fontId="39" fillId="44" borderId="24" xfId="0" applyFont="1" applyFill="1" applyBorder="1" applyAlignment="1">
      <alignment horizontal="center" vertical="center" wrapText="1"/>
    </xf>
    <xf numFmtId="0" fontId="11" fillId="45" borderId="43" xfId="0" applyFont="1" applyFill="1" applyBorder="1" applyAlignment="1">
      <alignment horizontal="center" vertical="center"/>
    </xf>
    <xf numFmtId="0" fontId="16" fillId="46" borderId="44" xfId="0" applyFont="1" applyFill="1" applyBorder="1" applyAlignment="1">
      <alignment vertical="center" wrapText="1"/>
    </xf>
    <xf numFmtId="0" fontId="37" fillId="47" borderId="45" xfId="0" applyFont="1" applyFill="1" applyBorder="1" applyAlignment="1">
      <alignment horizontal="center"/>
    </xf>
    <xf numFmtId="0" fontId="37" fillId="47" borderId="21" xfId="0" applyFont="1" applyFill="1" applyBorder="1" applyAlignment="1">
      <alignment horizontal="center"/>
    </xf>
    <xf numFmtId="0" fontId="37" fillId="47" borderId="46" xfId="0" applyFont="1" applyFill="1" applyBorder="1" applyAlignment="1">
      <alignment horizontal="center"/>
    </xf>
    <xf numFmtId="0" fontId="44" fillId="42" borderId="33" xfId="0" applyFont="1" applyFill="1" applyBorder="1" applyAlignment="1">
      <alignment horizontal="right"/>
    </xf>
    <xf numFmtId="0" fontId="45" fillId="42" borderId="46" xfId="0" applyFont="1" applyFill="1" applyBorder="1" applyAlignment="1">
      <alignment horizontal="center"/>
    </xf>
    <xf numFmtId="0" fontId="41" fillId="47" borderId="47" xfId="0" applyFont="1" applyFill="1" applyBorder="1" applyAlignment="1">
      <alignment horizontal="center" vertical="center" wrapText="1"/>
    </xf>
    <xf numFmtId="0" fontId="41" fillId="47" borderId="48" xfId="0" applyFont="1" applyFill="1" applyBorder="1" applyAlignment="1">
      <alignment horizontal="center" vertical="center" wrapText="1"/>
    </xf>
    <xf numFmtId="0" fontId="0" fillId="48" borderId="33" xfId="0" applyFill="1" applyBorder="1" applyAlignment="1">
      <alignment/>
    </xf>
    <xf numFmtId="0" fontId="0" fillId="48" borderId="49" xfId="0" applyFill="1" applyBorder="1" applyAlignment="1">
      <alignment/>
    </xf>
    <xf numFmtId="1" fontId="0" fillId="48" borderId="50" xfId="0" applyNumberFormat="1" applyFill="1" applyBorder="1" applyAlignment="1">
      <alignment/>
    </xf>
    <xf numFmtId="206" fontId="10" fillId="42" borderId="46" xfId="0" applyNumberFormat="1" applyFont="1" applyFill="1" applyBorder="1" applyAlignment="1" applyProtection="1">
      <alignment horizontal="center"/>
      <protection hidden="1"/>
    </xf>
    <xf numFmtId="0" fontId="41" fillId="42" borderId="51" xfId="0" applyFont="1" applyFill="1" applyBorder="1" applyAlignment="1">
      <alignment horizontal="center" vertical="center" wrapText="1"/>
    </xf>
    <xf numFmtId="0" fontId="41" fillId="49" borderId="51" xfId="0" applyFont="1" applyFill="1" applyBorder="1" applyAlignment="1">
      <alignment horizontal="center" vertical="center" wrapText="1"/>
    </xf>
    <xf numFmtId="1" fontId="41" fillId="0" borderId="39" xfId="0" applyNumberFormat="1" applyFont="1" applyFill="1" applyBorder="1" applyAlignment="1">
      <alignment horizontal="center" vertical="center" wrapText="1"/>
    </xf>
    <xf numFmtId="0" fontId="41" fillId="47" borderId="52" xfId="0" applyFont="1" applyFill="1" applyBorder="1" applyAlignment="1">
      <alignment horizontal="center" vertical="center" wrapText="1"/>
    </xf>
    <xf numFmtId="45" fontId="41" fillId="0" borderId="53" xfId="0" applyNumberFormat="1" applyFont="1" applyFill="1" applyBorder="1" applyAlignment="1">
      <alignment horizontal="center" vertical="center" wrapText="1"/>
    </xf>
    <xf numFmtId="0" fontId="41" fillId="42" borderId="54" xfId="0" applyFont="1" applyFill="1" applyBorder="1" applyAlignment="1">
      <alignment horizontal="center" vertical="center" wrapText="1"/>
    </xf>
    <xf numFmtId="1" fontId="41" fillId="0" borderId="55" xfId="0" applyNumberFormat="1" applyFont="1" applyFill="1" applyBorder="1" applyAlignment="1">
      <alignment horizontal="center" vertical="center" wrapText="1"/>
    </xf>
    <xf numFmtId="0" fontId="41" fillId="47" borderId="56" xfId="0" applyFont="1" applyFill="1" applyBorder="1" applyAlignment="1">
      <alignment horizontal="center" vertical="center" wrapText="1"/>
    </xf>
    <xf numFmtId="0" fontId="41" fillId="47" borderId="57" xfId="0" applyFont="1" applyFill="1" applyBorder="1" applyAlignment="1">
      <alignment horizontal="center" vertical="center" wrapText="1"/>
    </xf>
    <xf numFmtId="0" fontId="41" fillId="47" borderId="58" xfId="0" applyFont="1" applyFill="1" applyBorder="1" applyAlignment="1">
      <alignment horizontal="center" vertical="center" wrapText="1"/>
    </xf>
    <xf numFmtId="1" fontId="41" fillId="0" borderId="59" xfId="0" applyNumberFormat="1" applyFont="1" applyFill="1" applyBorder="1" applyAlignment="1">
      <alignment horizontal="center" vertical="center" wrapText="1"/>
    </xf>
    <xf numFmtId="0" fontId="58" fillId="0" borderId="60" xfId="0" applyFont="1" applyBorder="1" applyAlignment="1">
      <alignment/>
    </xf>
    <xf numFmtId="0" fontId="59" fillId="0" borderId="61" xfId="0" applyFont="1" applyBorder="1" applyAlignment="1">
      <alignment/>
    </xf>
    <xf numFmtId="0" fontId="59" fillId="0" borderId="62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63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/>
    </xf>
    <xf numFmtId="1" fontId="59" fillId="0" borderId="66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/>
    </xf>
    <xf numFmtId="21" fontId="59" fillId="0" borderId="11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/>
    </xf>
    <xf numFmtId="21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/>
    </xf>
    <xf numFmtId="2" fontId="59" fillId="0" borderId="66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0" fontId="59" fillId="0" borderId="60" xfId="0" applyFont="1" applyBorder="1" applyAlignment="1">
      <alignment/>
    </xf>
    <xf numFmtId="21" fontId="59" fillId="0" borderId="13" xfId="0" applyNumberFormat="1" applyFont="1" applyBorder="1" applyAlignment="1">
      <alignment horizontal="center" vertical="center"/>
    </xf>
    <xf numFmtId="202" fontId="59" fillId="0" borderId="66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9" fillId="0" borderId="26" xfId="0" applyFont="1" applyBorder="1" applyAlignment="1">
      <alignment horizontal="center" vertical="center"/>
    </xf>
    <xf numFmtId="2" fontId="59" fillId="0" borderId="68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203" fontId="60" fillId="42" borderId="69" xfId="0" applyNumberFormat="1" applyFont="1" applyFill="1" applyBorder="1" applyAlignment="1" applyProtection="1">
      <alignment horizontal="center"/>
      <protection hidden="1"/>
    </xf>
    <xf numFmtId="203" fontId="60" fillId="42" borderId="70" xfId="0" applyNumberFormat="1" applyFont="1" applyFill="1" applyBorder="1" applyAlignment="1" applyProtection="1">
      <alignment horizontal="center"/>
      <protection hidden="1"/>
    </xf>
    <xf numFmtId="203" fontId="60" fillId="42" borderId="71" xfId="0" applyNumberFormat="1" applyFont="1" applyFill="1" applyBorder="1" applyAlignment="1" applyProtection="1">
      <alignment horizontal="center"/>
      <protection hidden="1"/>
    </xf>
    <xf numFmtId="203" fontId="60" fillId="42" borderId="72" xfId="0" applyNumberFormat="1" applyFont="1" applyFill="1" applyBorder="1" applyAlignment="1" applyProtection="1">
      <alignment horizontal="center"/>
      <protection hidden="1"/>
    </xf>
    <xf numFmtId="203" fontId="60" fillId="42" borderId="51" xfId="0" applyNumberFormat="1" applyFont="1" applyFill="1" applyBorder="1" applyAlignment="1" applyProtection="1">
      <alignment horizontal="center"/>
      <protection hidden="1"/>
    </xf>
    <xf numFmtId="203" fontId="60" fillId="42" borderId="30" xfId="0" applyNumberFormat="1" applyFont="1" applyFill="1" applyBorder="1" applyAlignment="1" applyProtection="1">
      <alignment horizontal="center"/>
      <protection hidden="1"/>
    </xf>
    <xf numFmtId="203" fontId="60" fillId="42" borderId="73" xfId="0" applyNumberFormat="1" applyFont="1" applyFill="1" applyBorder="1" applyAlignment="1" applyProtection="1">
      <alignment horizontal="center"/>
      <protection hidden="1"/>
    </xf>
    <xf numFmtId="203" fontId="60" fillId="42" borderId="74" xfId="0" applyNumberFormat="1" applyFont="1" applyFill="1" applyBorder="1" applyAlignment="1" applyProtection="1">
      <alignment horizontal="center"/>
      <protection hidden="1"/>
    </xf>
    <xf numFmtId="203" fontId="60" fillId="42" borderId="32" xfId="0" applyNumberFormat="1" applyFont="1" applyFill="1" applyBorder="1" applyAlignment="1" applyProtection="1">
      <alignment horizontal="center"/>
      <protection hidden="1"/>
    </xf>
    <xf numFmtId="0" fontId="59" fillId="49" borderId="0" xfId="0" applyFont="1" applyFill="1" applyAlignment="1">
      <alignment horizontal="center" wrapText="1"/>
    </xf>
    <xf numFmtId="9" fontId="59" fillId="49" borderId="0" xfId="0" applyNumberFormat="1" applyFont="1" applyFill="1" applyAlignment="1">
      <alignment horizontal="center" wrapText="1"/>
    </xf>
    <xf numFmtId="0" fontId="59" fillId="49" borderId="75" xfId="0" applyFont="1" applyFill="1" applyBorder="1" applyAlignment="1">
      <alignment horizontal="center" wrapText="1"/>
    </xf>
    <xf numFmtId="1" fontId="3" fillId="50" borderId="76" xfId="0" applyNumberFormat="1" applyFont="1" applyFill="1" applyBorder="1" applyAlignment="1" applyProtection="1">
      <alignment horizontal="center" vertical="center"/>
      <protection locked="0"/>
    </xf>
    <xf numFmtId="0" fontId="3" fillId="35" borderId="77" xfId="0" applyFont="1" applyFill="1" applyBorder="1" applyAlignment="1" applyProtection="1">
      <alignment horizontal="center" vertical="center"/>
      <protection locked="0"/>
    </xf>
    <xf numFmtId="45" fontId="3" fillId="36" borderId="11" xfId="0" applyNumberFormat="1" applyFont="1" applyFill="1" applyBorder="1" applyAlignment="1" applyProtection="1">
      <alignment horizontal="center" vertical="center"/>
      <protection/>
    </xf>
    <xf numFmtId="0" fontId="29" fillId="0" borderId="7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79" xfId="0" applyFont="1" applyBorder="1" applyAlignment="1">
      <alignment/>
    </xf>
    <xf numFmtId="45" fontId="3" fillId="36" borderId="13" xfId="0" applyNumberFormat="1" applyFont="1" applyFill="1" applyBorder="1" applyAlignment="1">
      <alignment horizontal="center" vertical="center"/>
    </xf>
    <xf numFmtId="205" fontId="34" fillId="39" borderId="41" xfId="0" applyNumberFormat="1" applyFont="1" applyFill="1" applyBorder="1" applyAlignment="1" applyProtection="1">
      <alignment horizontal="center" vertical="center" wrapText="1"/>
      <protection/>
    </xf>
    <xf numFmtId="0" fontId="40" fillId="39" borderId="80" xfId="0" applyFont="1" applyFill="1" applyBorder="1" applyAlignment="1" applyProtection="1">
      <alignment horizontal="center" vertical="center" wrapText="1"/>
      <protection/>
    </xf>
    <xf numFmtId="0" fontId="34" fillId="39" borderId="41" xfId="0" applyFont="1" applyFill="1" applyBorder="1" applyAlignment="1" applyProtection="1">
      <alignment horizontal="center" vertical="center" wrapText="1"/>
      <protection/>
    </xf>
    <xf numFmtId="1" fontId="34" fillId="39" borderId="81" xfId="0" applyNumberFormat="1" applyFont="1" applyFill="1" applyBorder="1" applyAlignment="1" applyProtection="1">
      <alignment horizontal="center" vertical="center" wrapText="1"/>
      <protection/>
    </xf>
    <xf numFmtId="0" fontId="34" fillId="39" borderId="80" xfId="0" applyFont="1" applyFill="1" applyBorder="1" applyAlignment="1" applyProtection="1">
      <alignment horizontal="center" vertical="center" wrapText="1"/>
      <protection/>
    </xf>
    <xf numFmtId="206" fontId="34" fillId="39" borderId="41" xfId="0" applyNumberFormat="1" applyFont="1" applyFill="1" applyBorder="1" applyAlignment="1" applyProtection="1">
      <alignment horizontal="center" vertical="center" wrapText="1"/>
      <protection/>
    </xf>
    <xf numFmtId="0" fontId="41" fillId="42" borderId="39" xfId="0" applyFont="1" applyFill="1" applyBorder="1" applyAlignment="1">
      <alignment horizontal="center" vertical="center" wrapText="1"/>
    </xf>
    <xf numFmtId="0" fontId="41" fillId="51" borderId="39" xfId="0" applyFont="1" applyFill="1" applyBorder="1" applyAlignment="1">
      <alignment horizontal="center" vertical="center" wrapText="1"/>
    </xf>
    <xf numFmtId="0" fontId="41" fillId="52" borderId="39" xfId="0" applyFont="1" applyFill="1" applyBorder="1" applyAlignment="1">
      <alignment horizontal="center" vertical="center" wrapText="1"/>
    </xf>
    <xf numFmtId="0" fontId="41" fillId="42" borderId="53" xfId="0" applyFont="1" applyFill="1" applyBorder="1" applyAlignment="1">
      <alignment horizontal="center" vertical="center" wrapText="1"/>
    </xf>
    <xf numFmtId="1" fontId="41" fillId="0" borderId="76" xfId="0" applyNumberFormat="1" applyFont="1" applyFill="1" applyBorder="1" applyAlignment="1">
      <alignment horizontal="center" vertical="center" wrapText="1"/>
    </xf>
    <xf numFmtId="1" fontId="41" fillId="0" borderId="82" xfId="0" applyNumberFormat="1" applyFont="1" applyFill="1" applyBorder="1" applyAlignment="1">
      <alignment horizontal="center" vertical="center" wrapText="1"/>
    </xf>
    <xf numFmtId="1" fontId="41" fillId="0" borderId="83" xfId="0" applyNumberFormat="1" applyFont="1" applyFill="1" applyBorder="1" applyAlignment="1">
      <alignment horizontal="center" vertical="center" wrapText="1"/>
    </xf>
    <xf numFmtId="0" fontId="41" fillId="47" borderId="84" xfId="0" applyFont="1" applyFill="1" applyBorder="1" applyAlignment="1">
      <alignment horizontal="center" vertical="center" wrapText="1"/>
    </xf>
    <xf numFmtId="0" fontId="41" fillId="47" borderId="34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206" fontId="41" fillId="53" borderId="19" xfId="0" applyNumberFormat="1" applyFont="1" applyFill="1" applyBorder="1" applyAlignment="1">
      <alignment horizontal="center" vertical="center" wrapText="1"/>
    </xf>
    <xf numFmtId="1" fontId="41" fillId="53" borderId="20" xfId="0" applyNumberFormat="1" applyFont="1" applyFill="1" applyBorder="1" applyAlignment="1">
      <alignment horizontal="center" vertical="center" wrapText="1"/>
    </xf>
    <xf numFmtId="1" fontId="41" fillId="0" borderId="3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2" fontId="59" fillId="0" borderId="13" xfId="0" applyNumberFormat="1" applyFont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 wrapText="1"/>
    </xf>
    <xf numFmtId="0" fontId="32" fillId="54" borderId="15" xfId="0" applyFont="1" applyFill="1" applyBorder="1" applyAlignment="1">
      <alignment horizontal="right" wrapText="1"/>
    </xf>
    <xf numFmtId="0" fontId="32" fillId="54" borderId="18" xfId="0" applyFont="1" applyFill="1" applyBorder="1" applyAlignment="1" applyProtection="1">
      <alignment horizontal="right" wrapText="1"/>
      <protection/>
    </xf>
    <xf numFmtId="1" fontId="3" fillId="36" borderId="11" xfId="0" applyNumberFormat="1" applyFont="1" applyFill="1" applyBorder="1" applyAlignment="1">
      <alignment horizontal="center" vertical="center"/>
    </xf>
    <xf numFmtId="0" fontId="41" fillId="47" borderId="85" xfId="0" applyFont="1" applyFill="1" applyBorder="1" applyAlignment="1">
      <alignment horizontal="center" vertical="center" wrapText="1"/>
    </xf>
    <xf numFmtId="0" fontId="41" fillId="47" borderId="86" xfId="0" applyFont="1" applyFill="1" applyBorder="1" applyAlignment="1">
      <alignment horizontal="center" vertical="center" wrapText="1"/>
    </xf>
    <xf numFmtId="0" fontId="40" fillId="39" borderId="41" xfId="0" applyFont="1" applyFill="1" applyBorder="1" applyAlignment="1" applyProtection="1">
      <alignment horizontal="center" vertical="center" wrapText="1"/>
      <protection/>
    </xf>
    <xf numFmtId="1" fontId="40" fillId="39" borderId="81" xfId="0" applyNumberFormat="1" applyFont="1" applyFill="1" applyBorder="1" applyAlignment="1" applyProtection="1">
      <alignment horizontal="center" vertical="center" wrapText="1"/>
      <protection/>
    </xf>
    <xf numFmtId="1" fontId="41" fillId="0" borderId="77" xfId="0" applyNumberFormat="1" applyFont="1" applyFill="1" applyBorder="1" applyAlignment="1">
      <alignment horizontal="center" vertical="center" wrapText="1"/>
    </xf>
    <xf numFmtId="0" fontId="41" fillId="49" borderId="39" xfId="0" applyFont="1" applyFill="1" applyBorder="1" applyAlignment="1">
      <alignment horizontal="center" vertical="center" wrapText="1"/>
    </xf>
    <xf numFmtId="0" fontId="58" fillId="0" borderId="53" xfId="0" applyFont="1" applyBorder="1" applyAlignment="1">
      <alignment/>
    </xf>
    <xf numFmtId="0" fontId="41" fillId="55" borderId="39" xfId="0" applyFont="1" applyFill="1" applyBorder="1" applyAlignment="1">
      <alignment horizontal="center" vertical="center" wrapText="1"/>
    </xf>
    <xf numFmtId="0" fontId="41" fillId="42" borderId="87" xfId="0" applyFont="1" applyFill="1" applyBorder="1" applyAlignment="1">
      <alignment horizontal="center" vertical="center" wrapText="1"/>
    </xf>
    <xf numFmtId="45" fontId="41" fillId="0" borderId="87" xfId="0" applyNumberFormat="1" applyFont="1" applyFill="1" applyBorder="1" applyAlignment="1">
      <alignment horizontal="center" vertical="center" wrapText="1"/>
    </xf>
    <xf numFmtId="1" fontId="41" fillId="0" borderId="88" xfId="0" applyNumberFormat="1" applyFont="1" applyFill="1" applyBorder="1" applyAlignment="1">
      <alignment horizontal="center" vertical="center" wrapText="1"/>
    </xf>
    <xf numFmtId="1" fontId="41" fillId="53" borderId="89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41" fillId="53" borderId="20" xfId="0" applyNumberFormat="1" applyFont="1" applyFill="1" applyBorder="1" applyAlignment="1">
      <alignment horizontal="center" vertical="center" wrapText="1"/>
    </xf>
    <xf numFmtId="1" fontId="58" fillId="0" borderId="76" xfId="0" applyNumberFormat="1" applyFont="1" applyBorder="1" applyAlignment="1">
      <alignment/>
    </xf>
    <xf numFmtId="45" fontId="41" fillId="53" borderId="19" xfId="0" applyNumberFormat="1" applyFont="1" applyFill="1" applyBorder="1" applyAlignment="1">
      <alignment horizontal="center" vertical="center" wrapText="1"/>
    </xf>
    <xf numFmtId="20" fontId="41" fillId="0" borderId="40" xfId="0" applyNumberFormat="1" applyFont="1" applyFill="1" applyBorder="1" applyAlignment="1">
      <alignment horizontal="center" vertical="center" wrapText="1"/>
    </xf>
    <xf numFmtId="20" fontId="41" fillId="0" borderId="39" xfId="0" applyNumberFormat="1" applyFont="1" applyFill="1" applyBorder="1" applyAlignment="1">
      <alignment horizontal="center" vertical="center" wrapText="1"/>
    </xf>
    <xf numFmtId="206" fontId="40" fillId="39" borderId="41" xfId="0" applyNumberFormat="1" applyFont="1" applyFill="1" applyBorder="1" applyAlignment="1" applyProtection="1">
      <alignment horizontal="center" vertical="center" wrapText="1"/>
      <protection/>
    </xf>
    <xf numFmtId="205" fontId="40" fillId="39" borderId="41" xfId="0" applyNumberFormat="1" applyFont="1" applyFill="1" applyBorder="1" applyAlignment="1" applyProtection="1">
      <alignment horizontal="center" vertical="center" wrapText="1"/>
      <protection/>
    </xf>
    <xf numFmtId="45" fontId="3" fillId="56" borderId="15" xfId="0" applyNumberFormat="1" applyFont="1" applyFill="1" applyBorder="1" applyAlignment="1" applyProtection="1">
      <alignment horizontal="center" vertical="center"/>
      <protection/>
    </xf>
    <xf numFmtId="1" fontId="3" fillId="36" borderId="15" xfId="0" applyNumberFormat="1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/>
    </xf>
    <xf numFmtId="45" fontId="41" fillId="0" borderId="90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1" fontId="33" fillId="36" borderId="13" xfId="0" applyNumberFormat="1" applyFont="1" applyFill="1" applyBorder="1" applyAlignment="1" applyProtection="1">
      <alignment horizontal="center" vertical="center"/>
      <protection locked="0"/>
    </xf>
    <xf numFmtId="0" fontId="41" fillId="57" borderId="51" xfId="0" applyFont="1" applyFill="1" applyBorder="1" applyAlignment="1">
      <alignment horizontal="center" vertical="center" wrapText="1"/>
    </xf>
    <xf numFmtId="0" fontId="41" fillId="57" borderId="39" xfId="0" applyFont="1" applyFill="1" applyBorder="1" applyAlignment="1">
      <alignment horizontal="center" vertical="center" wrapText="1"/>
    </xf>
    <xf numFmtId="0" fontId="41" fillId="58" borderId="39" xfId="0" applyFont="1" applyFill="1" applyBorder="1" applyAlignment="1">
      <alignment horizontal="center" vertical="center" wrapText="1"/>
    </xf>
    <xf numFmtId="0" fontId="66" fillId="59" borderId="51" xfId="0" applyFont="1" applyFill="1" applyBorder="1" applyAlignment="1">
      <alignment horizontal="center" vertical="center" wrapText="1"/>
    </xf>
    <xf numFmtId="0" fontId="41" fillId="60" borderId="87" xfId="0" applyFont="1" applyFill="1" applyBorder="1" applyAlignment="1">
      <alignment horizontal="center" vertical="center" wrapText="1"/>
    </xf>
    <xf numFmtId="0" fontId="66" fillId="59" borderId="39" xfId="0" applyFont="1" applyFill="1" applyBorder="1" applyAlignment="1">
      <alignment horizontal="center" vertical="center" wrapText="1"/>
    </xf>
    <xf numFmtId="0" fontId="66" fillId="59" borderId="40" xfId="0" applyFont="1" applyFill="1" applyBorder="1" applyAlignment="1">
      <alignment horizontal="center" vertical="center" wrapText="1"/>
    </xf>
    <xf numFmtId="0" fontId="41" fillId="59" borderId="39" xfId="0" applyFont="1" applyFill="1" applyBorder="1" applyAlignment="1">
      <alignment horizontal="center" vertical="center" wrapText="1"/>
    </xf>
    <xf numFmtId="0" fontId="66" fillId="59" borderId="74" xfId="0" applyFont="1" applyFill="1" applyBorder="1" applyAlignment="1">
      <alignment horizontal="center" vertical="center" wrapText="1"/>
    </xf>
    <xf numFmtId="0" fontId="41" fillId="61" borderId="39" xfId="0" applyFont="1" applyFill="1" applyBorder="1" applyAlignment="1">
      <alignment horizontal="center" vertical="center" wrapText="1"/>
    </xf>
    <xf numFmtId="0" fontId="41" fillId="61" borderId="51" xfId="0" applyFont="1" applyFill="1" applyBorder="1" applyAlignment="1">
      <alignment horizontal="center" vertical="center" wrapText="1"/>
    </xf>
    <xf numFmtId="0" fontId="41" fillId="61" borderId="91" xfId="0" applyFont="1" applyFill="1" applyBorder="1" applyAlignment="1">
      <alignment horizontal="center" vertical="center" wrapText="1"/>
    </xf>
    <xf numFmtId="0" fontId="41" fillId="62" borderId="74" xfId="0" applyFont="1" applyFill="1" applyBorder="1" applyAlignment="1">
      <alignment horizontal="center" vertical="center" wrapText="1"/>
    </xf>
    <xf numFmtId="0" fontId="41" fillId="63" borderId="87" xfId="0" applyFont="1" applyFill="1" applyBorder="1" applyAlignment="1">
      <alignment horizontal="center" vertical="center" wrapText="1"/>
    </xf>
    <xf numFmtId="0" fontId="41" fillId="62" borderId="39" xfId="0" applyFont="1" applyFill="1" applyBorder="1" applyAlignment="1">
      <alignment horizontal="center" vertical="center" wrapText="1"/>
    </xf>
    <xf numFmtId="0" fontId="41" fillId="62" borderId="40" xfId="0" applyFont="1" applyFill="1" applyBorder="1" applyAlignment="1">
      <alignment horizontal="center" vertical="center" wrapText="1"/>
    </xf>
    <xf numFmtId="0" fontId="59" fillId="64" borderId="75" xfId="0" applyFont="1" applyFill="1" applyBorder="1" applyAlignment="1">
      <alignment horizontal="center" wrapText="1"/>
    </xf>
    <xf numFmtId="9" fontId="59" fillId="64" borderId="66" xfId="0" applyNumberFormat="1" applyFont="1" applyFill="1" applyBorder="1" applyAlignment="1">
      <alignment horizontal="center" wrapText="1"/>
    </xf>
    <xf numFmtId="0" fontId="59" fillId="64" borderId="92" xfId="0" applyFont="1" applyFill="1" applyBorder="1" applyAlignment="1">
      <alignment horizontal="center" wrapText="1"/>
    </xf>
    <xf numFmtId="0" fontId="59" fillId="65" borderId="0" xfId="0" applyFont="1" applyFill="1" applyAlignment="1">
      <alignment horizontal="center" wrapText="1"/>
    </xf>
    <xf numFmtId="0" fontId="59" fillId="65" borderId="93" xfId="0" applyFont="1" applyFill="1" applyBorder="1" applyAlignment="1">
      <alignment horizontal="center" wrapText="1"/>
    </xf>
    <xf numFmtId="0" fontId="59" fillId="66" borderId="69" xfId="0" applyFont="1" applyFill="1" applyBorder="1" applyAlignment="1">
      <alignment horizontal="center" wrapText="1"/>
    </xf>
    <xf numFmtId="0" fontId="59" fillId="66" borderId="75" xfId="0" applyFont="1" applyFill="1" applyBorder="1" applyAlignment="1">
      <alignment horizontal="center" wrapText="1"/>
    </xf>
    <xf numFmtId="0" fontId="59" fillId="67" borderId="94" xfId="0" applyFont="1" applyFill="1" applyBorder="1" applyAlignment="1">
      <alignment horizontal="center" wrapText="1"/>
    </xf>
    <xf numFmtId="0" fontId="59" fillId="67" borderId="95" xfId="0" applyFont="1" applyFill="1" applyBorder="1" applyAlignment="1">
      <alignment horizontal="center" wrapText="1"/>
    </xf>
    <xf numFmtId="0" fontId="59" fillId="67" borderId="96" xfId="0" applyFont="1" applyFill="1" applyBorder="1" applyAlignment="1">
      <alignment horizontal="center" wrapText="1"/>
    </xf>
    <xf numFmtId="0" fontId="54" fillId="47" borderId="52" xfId="0" applyFont="1" applyFill="1" applyBorder="1" applyAlignment="1">
      <alignment horizontal="center"/>
    </xf>
    <xf numFmtId="0" fontId="54" fillId="47" borderId="55" xfId="0" applyFont="1" applyFill="1" applyBorder="1" applyAlignment="1">
      <alignment horizontal="center"/>
    </xf>
    <xf numFmtId="0" fontId="0" fillId="0" borderId="47" xfId="0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47" xfId="0" applyNumberFormat="1" applyFont="1" applyBorder="1" applyAlignment="1">
      <alignment horizontal="right"/>
    </xf>
    <xf numFmtId="9" fontId="0" fillId="0" borderId="48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61" fillId="67" borderId="96" xfId="0" applyFont="1" applyFill="1" applyBorder="1" applyAlignment="1">
      <alignment horizontal="center" wrapText="1"/>
    </xf>
    <xf numFmtId="0" fontId="61" fillId="67" borderId="94" xfId="0" applyFont="1" applyFill="1" applyBorder="1" applyAlignment="1">
      <alignment horizontal="center" wrapText="1"/>
    </xf>
    <xf numFmtId="0" fontId="24" fillId="0" borderId="33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7" fillId="47" borderId="97" xfId="0" applyFont="1" applyFill="1" applyBorder="1" applyAlignment="1" applyProtection="1">
      <alignment horizontal="center" vertical="center"/>
      <protection/>
    </xf>
    <xf numFmtId="0" fontId="57" fillId="47" borderId="38" xfId="0" applyFont="1" applyFill="1" applyBorder="1" applyAlignment="1" applyProtection="1">
      <alignment horizontal="center" vertical="center"/>
      <protection/>
    </xf>
    <xf numFmtId="0" fontId="57" fillId="47" borderId="35" xfId="0" applyFont="1" applyFill="1" applyBorder="1" applyAlignment="1" applyProtection="1">
      <alignment horizontal="center" vertical="center"/>
      <protection/>
    </xf>
    <xf numFmtId="0" fontId="18" fillId="53" borderId="27" xfId="0" applyFont="1" applyFill="1" applyBorder="1" applyAlignment="1" applyProtection="1">
      <alignment horizontal="center" wrapText="1"/>
      <protection/>
    </xf>
    <xf numFmtId="0" fontId="18" fillId="53" borderId="98" xfId="0" applyFont="1" applyFill="1" applyBorder="1" applyAlignment="1" applyProtection="1">
      <alignment horizontal="center" wrapText="1"/>
      <protection/>
    </xf>
    <xf numFmtId="0" fontId="0" fillId="53" borderId="98" xfId="0" applyFill="1" applyBorder="1" applyAlignment="1" applyProtection="1">
      <alignment horizontal="center"/>
      <protection/>
    </xf>
    <xf numFmtId="0" fontId="0" fillId="53" borderId="28" xfId="0" applyFill="1" applyBorder="1" applyAlignment="1" applyProtection="1">
      <alignment horizontal="center"/>
      <protection/>
    </xf>
    <xf numFmtId="0" fontId="29" fillId="0" borderId="99" xfId="0" applyFont="1" applyBorder="1" applyAlignment="1">
      <alignment/>
    </xf>
    <xf numFmtId="0" fontId="30" fillId="0" borderId="100" xfId="0" applyFont="1" applyBorder="1" applyAlignment="1">
      <alignment/>
    </xf>
    <xf numFmtId="0" fontId="30" fillId="0" borderId="101" xfId="0" applyFont="1" applyBorder="1" applyAlignment="1">
      <alignment/>
    </xf>
    <xf numFmtId="0" fontId="29" fillId="0" borderId="7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79" xfId="0" applyFont="1" applyBorder="1" applyAlignment="1">
      <alignment/>
    </xf>
    <xf numFmtId="0" fontId="48" fillId="0" borderId="78" xfId="0" applyFont="1" applyBorder="1" applyAlignment="1">
      <alignment/>
    </xf>
    <xf numFmtId="0" fontId="24" fillId="0" borderId="78" xfId="0" applyFont="1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57" fillId="47" borderId="47" xfId="0" applyFont="1" applyFill="1" applyBorder="1" applyAlignment="1">
      <alignment horizontal="center" vertical="center"/>
    </xf>
    <xf numFmtId="0" fontId="55" fillId="47" borderId="39" xfId="0" applyFont="1" applyFill="1" applyBorder="1" applyAlignment="1">
      <alignment horizontal="center" vertical="center"/>
    </xf>
    <xf numFmtId="0" fontId="55" fillId="47" borderId="36" xfId="0" applyFont="1" applyFill="1" applyBorder="1" applyAlignment="1">
      <alignment horizontal="center" vertical="center"/>
    </xf>
    <xf numFmtId="0" fontId="16" fillId="39" borderId="27" xfId="0" applyFont="1" applyFill="1" applyBorder="1" applyAlignment="1" applyProtection="1">
      <alignment horizontal="center" wrapText="1"/>
      <protection/>
    </xf>
    <xf numFmtId="0" fontId="16" fillId="39" borderId="98" xfId="0" applyFont="1" applyFill="1" applyBorder="1" applyAlignment="1" applyProtection="1">
      <alignment horizontal="center" wrapText="1"/>
      <protection/>
    </xf>
    <xf numFmtId="0" fontId="0" fillId="0" borderId="98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12" fillId="0" borderId="78" xfId="45" applyFont="1" applyBorder="1" applyAlignment="1" applyProtection="1">
      <alignment horizontal="center" wrapText="1"/>
      <protection/>
    </xf>
    <xf numFmtId="0" fontId="12" fillId="0" borderId="0" xfId="45" applyFont="1" applyBorder="1" applyAlignment="1" applyProtection="1">
      <alignment horizontal="center" wrapText="1"/>
      <protection/>
    </xf>
    <xf numFmtId="0" fontId="12" fillId="0" borderId="0" xfId="45" applyFont="1" applyBorder="1" applyAlignment="1" applyProtection="1">
      <alignment horizontal="center"/>
      <protection/>
    </xf>
    <xf numFmtId="0" fontId="12" fillId="0" borderId="79" xfId="45" applyFont="1" applyBorder="1" applyAlignment="1" applyProtection="1">
      <alignment horizontal="center"/>
      <protection/>
    </xf>
    <xf numFmtId="0" fontId="21" fillId="39" borderId="33" xfId="0" applyFont="1" applyFill="1" applyBorder="1" applyAlignment="1" applyProtection="1">
      <alignment horizontal="center" wrapText="1"/>
      <protection/>
    </xf>
    <xf numFmtId="0" fontId="21" fillId="39" borderId="49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50" fillId="0" borderId="7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9" xfId="0" applyFont="1" applyBorder="1" applyAlignment="1">
      <alignment/>
    </xf>
    <xf numFmtId="0" fontId="12" fillId="0" borderId="33" xfId="45" applyBorder="1" applyAlignment="1" applyProtection="1">
      <alignment horizontal="center"/>
      <protection/>
    </xf>
    <xf numFmtId="0" fontId="12" fillId="0" borderId="49" xfId="45" applyBorder="1" applyAlignment="1" applyProtection="1">
      <alignment horizontal="center"/>
      <protection/>
    </xf>
    <xf numFmtId="0" fontId="12" fillId="0" borderId="50" xfId="45" applyBorder="1" applyAlignment="1" applyProtection="1">
      <alignment horizontal="center"/>
      <protection/>
    </xf>
    <xf numFmtId="0" fontId="24" fillId="0" borderId="27" xfId="0" applyFont="1" applyBorder="1" applyAlignment="1">
      <alignment/>
    </xf>
    <xf numFmtId="0" fontId="0" fillId="0" borderId="98" xfId="0" applyBorder="1" applyAlignment="1">
      <alignment/>
    </xf>
    <xf numFmtId="0" fontId="0" fillId="0" borderId="28" xfId="0" applyBorder="1" applyAlignment="1">
      <alignment/>
    </xf>
    <xf numFmtId="0" fontId="51" fillId="0" borderId="78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79" xfId="0" applyFont="1" applyBorder="1" applyAlignment="1">
      <alignment/>
    </xf>
    <xf numFmtId="0" fontId="21" fillId="0" borderId="33" xfId="0" applyFont="1" applyFill="1" applyBorder="1" applyAlignment="1" applyProtection="1">
      <alignment horizontal="center" wrapText="1"/>
      <protection/>
    </xf>
    <xf numFmtId="0" fontId="21" fillId="0" borderId="49" xfId="0" applyFont="1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63" fillId="37" borderId="33" xfId="0" applyFont="1" applyFill="1" applyBorder="1" applyAlignment="1" applyProtection="1">
      <alignment horizontal="center" wrapText="1"/>
      <protection/>
    </xf>
    <xf numFmtId="0" fontId="64" fillId="0" borderId="49" xfId="0" applyFont="1" applyBorder="1" applyAlignment="1" applyProtection="1">
      <alignment horizontal="center" wrapText="1"/>
      <protection/>
    </xf>
    <xf numFmtId="0" fontId="64" fillId="0" borderId="50" xfId="0" applyFont="1" applyBorder="1" applyAlignment="1" applyProtection="1">
      <alignment horizontal="center" wrapText="1"/>
      <protection/>
    </xf>
    <xf numFmtId="0" fontId="29" fillId="0" borderId="27" xfId="0" applyFont="1" applyBorder="1" applyAlignment="1">
      <alignment/>
    </xf>
    <xf numFmtId="0" fontId="30" fillId="0" borderId="98" xfId="0" applyFont="1" applyBorder="1" applyAlignment="1">
      <alignment/>
    </xf>
    <xf numFmtId="0" fontId="30" fillId="0" borderId="28" xfId="0" applyFont="1" applyBorder="1" applyAlignment="1">
      <alignment/>
    </xf>
    <xf numFmtId="0" fontId="56" fillId="39" borderId="99" xfId="0" applyFont="1" applyFill="1" applyBorder="1" applyAlignment="1" applyProtection="1">
      <alignment horizontal="center"/>
      <protection/>
    </xf>
    <xf numFmtId="0" fontId="55" fillId="0" borderId="100" xfId="0" applyFont="1" applyBorder="1" applyAlignment="1" applyProtection="1">
      <alignment horizontal="center"/>
      <protection/>
    </xf>
    <xf numFmtId="0" fontId="55" fillId="0" borderId="101" xfId="0" applyFont="1" applyBorder="1" applyAlignment="1" applyProtection="1">
      <alignment horizontal="center"/>
      <protection/>
    </xf>
    <xf numFmtId="0" fontId="65" fillId="0" borderId="0" xfId="0" applyFont="1" applyBorder="1" applyAlignment="1">
      <alignment/>
    </xf>
    <xf numFmtId="0" fontId="65" fillId="0" borderId="79" xfId="0" applyFont="1" applyBorder="1" applyAlignment="1">
      <alignment/>
    </xf>
    <xf numFmtId="0" fontId="23" fillId="68" borderId="48" xfId="0" applyFont="1" applyFill="1" applyBorder="1" applyAlignment="1">
      <alignment horizontal="center" vertical="center"/>
    </xf>
    <xf numFmtId="0" fontId="0" fillId="68" borderId="37" xfId="0" applyFill="1" applyBorder="1" applyAlignment="1">
      <alignment horizontal="center" vertical="center"/>
    </xf>
    <xf numFmtId="0" fontId="23" fillId="69" borderId="47" xfId="0" applyFont="1" applyFill="1" applyBorder="1" applyAlignment="1">
      <alignment horizontal="center" vertical="center"/>
    </xf>
    <xf numFmtId="0" fontId="0" fillId="69" borderId="36" xfId="0" applyFill="1" applyBorder="1" applyAlignment="1">
      <alignment horizontal="center" vertical="center"/>
    </xf>
    <xf numFmtId="0" fontId="23" fillId="70" borderId="4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4" fillId="47" borderId="102" xfId="0" applyFont="1" applyFill="1" applyBorder="1" applyAlignment="1" applyProtection="1">
      <alignment horizontal="center" vertical="center"/>
      <protection/>
    </xf>
    <xf numFmtId="0" fontId="54" fillId="47" borderId="38" xfId="0" applyFont="1" applyFill="1" applyBorder="1" applyAlignment="1" applyProtection="1">
      <alignment horizontal="center" vertical="center"/>
      <protection/>
    </xf>
    <xf numFmtId="0" fontId="54" fillId="47" borderId="83" xfId="0" applyFont="1" applyFill="1" applyBorder="1" applyAlignment="1" applyProtection="1">
      <alignment horizontal="center" vertical="center"/>
      <protection/>
    </xf>
    <xf numFmtId="0" fontId="54" fillId="47" borderId="57" xfId="0" applyFont="1" applyFill="1" applyBorder="1" applyAlignment="1">
      <alignment horizontal="center" vertical="center"/>
    </xf>
    <xf numFmtId="0" fontId="56" fillId="47" borderId="39" xfId="0" applyFont="1" applyFill="1" applyBorder="1" applyAlignment="1">
      <alignment horizontal="center" vertical="center"/>
    </xf>
    <xf numFmtId="0" fontId="56" fillId="47" borderId="82" xfId="0" applyFont="1" applyFill="1" applyBorder="1" applyAlignment="1">
      <alignment horizontal="center" vertical="center"/>
    </xf>
    <xf numFmtId="0" fontId="23" fillId="53" borderId="97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1" fontId="35" fillId="48" borderId="47" xfId="0" applyNumberFormat="1" applyFont="1" applyFill="1" applyBorder="1" applyAlignment="1">
      <alignment horizontal="center" vertical="center" wrapText="1"/>
    </xf>
    <xf numFmtId="0" fontId="0" fillId="48" borderId="36" xfId="0" applyFill="1" applyBorder="1" applyAlignment="1">
      <alignment horizontal="center" vertical="center" wrapText="1"/>
    </xf>
    <xf numFmtId="0" fontId="23" fillId="71" borderId="47" xfId="0" applyFont="1" applyFill="1" applyBorder="1" applyAlignment="1">
      <alignment horizontal="center" vertical="center"/>
    </xf>
    <xf numFmtId="0" fontId="0" fillId="71" borderId="36" xfId="0" applyFill="1" applyBorder="1" applyAlignment="1">
      <alignment horizontal="center" vertical="center"/>
    </xf>
    <xf numFmtId="0" fontId="26" fillId="0" borderId="78" xfId="0" applyFont="1" applyBorder="1" applyAlignment="1">
      <alignment/>
    </xf>
    <xf numFmtId="0" fontId="54" fillId="47" borderId="58" xfId="0" applyFont="1" applyFill="1" applyBorder="1" applyAlignment="1">
      <alignment horizontal="center" vertical="center"/>
    </xf>
    <xf numFmtId="0" fontId="56" fillId="47" borderId="40" xfId="0" applyFont="1" applyFill="1" applyBorder="1" applyAlignment="1">
      <alignment horizontal="center" vertical="center"/>
    </xf>
    <xf numFmtId="0" fontId="56" fillId="47" borderId="77" xfId="0" applyFont="1" applyFill="1" applyBorder="1" applyAlignment="1">
      <alignment horizontal="center" vertical="center"/>
    </xf>
    <xf numFmtId="1" fontId="57" fillId="72" borderId="47" xfId="0" applyNumberFormat="1" applyFont="1" applyFill="1" applyBorder="1" applyAlignment="1">
      <alignment horizontal="center" vertical="center"/>
    </xf>
    <xf numFmtId="1" fontId="57" fillId="72" borderId="39" xfId="0" applyNumberFormat="1" applyFont="1" applyFill="1" applyBorder="1" applyAlignment="1">
      <alignment horizontal="center" vertical="center"/>
    </xf>
    <xf numFmtId="1" fontId="57" fillId="72" borderId="36" xfId="0" applyNumberFormat="1" applyFont="1" applyFill="1" applyBorder="1" applyAlignment="1">
      <alignment horizontal="center" vertical="center"/>
    </xf>
    <xf numFmtId="0" fontId="57" fillId="47" borderId="48" xfId="0" applyFont="1" applyFill="1" applyBorder="1" applyAlignment="1">
      <alignment horizontal="center" vertical="center"/>
    </xf>
    <xf numFmtId="0" fontId="55" fillId="47" borderId="40" xfId="0" applyFont="1" applyFill="1" applyBorder="1" applyAlignment="1">
      <alignment horizontal="center" vertical="center"/>
    </xf>
    <xf numFmtId="0" fontId="55" fillId="47" borderId="37" xfId="0" applyFont="1" applyFill="1" applyBorder="1" applyAlignment="1">
      <alignment horizontal="center" vertical="center"/>
    </xf>
    <xf numFmtId="0" fontId="54" fillId="47" borderId="34" xfId="0" applyFont="1" applyFill="1" applyBorder="1" applyAlignment="1" applyProtection="1">
      <alignment horizontal="center" vertical="center"/>
      <protection/>
    </xf>
    <xf numFmtId="0" fontId="54" fillId="47" borderId="19" xfId="0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4" fillId="47" borderId="20" xfId="0" applyFont="1" applyFill="1" applyBorder="1" applyAlignment="1" applyProtection="1">
      <alignment horizontal="center" vertical="center"/>
      <protection/>
    </xf>
    <xf numFmtId="0" fontId="54" fillId="47" borderId="86" xfId="0" applyFont="1" applyFill="1" applyBorder="1" applyAlignment="1" applyProtection="1">
      <alignment horizontal="center" vertical="center"/>
      <protection/>
    </xf>
    <xf numFmtId="0" fontId="55" fillId="0" borderId="89" xfId="0" applyFont="1" applyBorder="1" applyAlignment="1">
      <alignment horizontal="center" vertical="center"/>
    </xf>
    <xf numFmtId="1" fontId="50" fillId="72" borderId="57" xfId="0" applyNumberFormat="1" applyFont="1" applyFill="1" applyBorder="1" applyAlignment="1">
      <alignment horizontal="center" vertical="center" wrapText="1"/>
    </xf>
    <xf numFmtId="1" fontId="50" fillId="72" borderId="39" xfId="0" applyNumberFormat="1" applyFont="1" applyFill="1" applyBorder="1" applyAlignment="1">
      <alignment horizontal="center" vertical="center" wrapText="1"/>
    </xf>
    <xf numFmtId="1" fontId="50" fillId="72" borderId="82" xfId="0" applyNumberFormat="1" applyFont="1" applyFill="1" applyBorder="1" applyAlignment="1">
      <alignment horizontal="center" vertical="center" wrapText="1"/>
    </xf>
    <xf numFmtId="0" fontId="32" fillId="34" borderId="61" xfId="0" applyFont="1" applyFill="1" applyBorder="1" applyAlignment="1">
      <alignment horizontal="right" wrapText="1"/>
    </xf>
    <xf numFmtId="0" fontId="32" fillId="34" borderId="58" xfId="0" applyFont="1" applyFill="1" applyBorder="1" applyAlignment="1">
      <alignment horizontal="right" wrapText="1"/>
    </xf>
    <xf numFmtId="0" fontId="32" fillId="34" borderId="12" xfId="0" applyFont="1" applyFill="1" applyBorder="1" applyAlignment="1">
      <alignment horizontal="right" wrapText="1"/>
    </xf>
    <xf numFmtId="0" fontId="32" fillId="34" borderId="56" xfId="0" applyFont="1" applyFill="1" applyBorder="1" applyAlignment="1">
      <alignment horizontal="right" wrapText="1"/>
    </xf>
    <xf numFmtId="0" fontId="32" fillId="53" borderId="33" xfId="0" applyFont="1" applyFill="1" applyBorder="1" applyAlignment="1" applyProtection="1">
      <alignment horizontal="center" wrapText="1"/>
      <protection/>
    </xf>
    <xf numFmtId="0" fontId="32" fillId="53" borderId="49" xfId="0" applyFont="1" applyFill="1" applyBorder="1" applyAlignment="1" applyProtection="1">
      <alignment horizontal="center" wrapText="1"/>
      <protection/>
    </xf>
    <xf numFmtId="0" fontId="30" fillId="53" borderId="49" xfId="0" applyFont="1" applyFill="1" applyBorder="1" applyAlignment="1" applyProtection="1">
      <alignment horizontal="center" wrapText="1"/>
      <protection/>
    </xf>
    <xf numFmtId="0" fontId="30" fillId="53" borderId="50" xfId="0" applyFont="1" applyFill="1" applyBorder="1" applyAlignment="1" applyProtection="1">
      <alignment horizontal="center" wrapText="1"/>
      <protection/>
    </xf>
    <xf numFmtId="0" fontId="32" fillId="37" borderId="33" xfId="0" applyFont="1" applyFill="1" applyBorder="1" applyAlignment="1" applyProtection="1">
      <alignment horizontal="center" wrapText="1"/>
      <protection/>
    </xf>
    <xf numFmtId="0" fontId="32" fillId="37" borderId="50" xfId="0" applyFont="1" applyFill="1" applyBorder="1" applyAlignment="1" applyProtection="1">
      <alignment horizontal="center" wrapText="1"/>
      <protection/>
    </xf>
    <xf numFmtId="0" fontId="62" fillId="37" borderId="33" xfId="0" applyFont="1" applyFill="1" applyBorder="1" applyAlignment="1" applyProtection="1">
      <alignment horizontal="center" wrapText="1"/>
      <protection/>
    </xf>
    <xf numFmtId="0" fontId="62" fillId="37" borderId="50" xfId="0" applyFont="1" applyFill="1" applyBorder="1" applyAlignment="1" applyProtection="1">
      <alignment horizontal="center" wrapText="1"/>
      <protection/>
    </xf>
    <xf numFmtId="0" fontId="3" fillId="73" borderId="27" xfId="0" applyFont="1" applyFill="1" applyBorder="1" applyAlignment="1" applyProtection="1">
      <alignment horizontal="fill"/>
      <protection/>
    </xf>
    <xf numFmtId="0" fontId="30" fillId="34" borderId="78" xfId="0" applyFont="1" applyFill="1" applyBorder="1" applyAlignment="1" applyProtection="1">
      <alignment/>
      <protection/>
    </xf>
    <xf numFmtId="0" fontId="30" fillId="34" borderId="99" xfId="0" applyFont="1" applyFill="1" applyBorder="1" applyAlignment="1" applyProtection="1">
      <alignment/>
      <protection/>
    </xf>
    <xf numFmtId="0" fontId="32" fillId="37" borderId="14" xfId="0" applyFont="1" applyFill="1" applyBorder="1" applyAlignment="1" applyProtection="1">
      <alignment horizontal="right" wrapText="1"/>
      <protection/>
    </xf>
    <xf numFmtId="0" fontId="30" fillId="0" borderId="103" xfId="0" applyFont="1" applyBorder="1" applyAlignment="1">
      <alignment wrapText="1"/>
    </xf>
    <xf numFmtId="0" fontId="62" fillId="37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43" fillId="48" borderId="49" xfId="0" applyFont="1" applyFill="1" applyBorder="1" applyAlignment="1">
      <alignment horizontal="center" vertical="center" wrapText="1"/>
    </xf>
    <xf numFmtId="0" fontId="43" fillId="48" borderId="49" xfId="0" applyFont="1" applyFill="1" applyBorder="1" applyAlignment="1">
      <alignment horizontal="center" vertical="center"/>
    </xf>
    <xf numFmtId="0" fontId="20" fillId="74" borderId="104" xfId="0" applyFont="1" applyFill="1" applyBorder="1" applyAlignment="1">
      <alignment horizontal="center" vertical="center" wrapText="1"/>
    </xf>
    <xf numFmtId="0" fontId="20" fillId="74" borderId="105" xfId="0" applyFont="1" applyFill="1" applyBorder="1" applyAlignment="1">
      <alignment horizontal="center" vertical="center" wrapText="1"/>
    </xf>
    <xf numFmtId="0" fontId="20" fillId="74" borderId="106" xfId="0" applyFont="1" applyFill="1" applyBorder="1" applyAlignment="1">
      <alignment horizontal="center" vertical="center" wrapText="1"/>
    </xf>
    <xf numFmtId="0" fontId="59" fillId="0" borderId="107" xfId="0" applyFont="1" applyBorder="1" applyAlignment="1">
      <alignment horizontal="center" vertical="center" wrapText="1"/>
    </xf>
    <xf numFmtId="0" fontId="59" fillId="0" borderId="108" xfId="0" applyFont="1" applyBorder="1" applyAlignment="1">
      <alignment horizontal="center" vertical="center" wrapText="1"/>
    </xf>
    <xf numFmtId="0" fontId="59" fillId="0" borderId="109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  <xf numFmtId="0" fontId="59" fillId="0" borderId="111" xfId="0" applyFont="1" applyBorder="1" applyAlignment="1">
      <alignment horizontal="center" vertical="center" wrapText="1"/>
    </xf>
    <xf numFmtId="0" fontId="59" fillId="0" borderId="112" xfId="0" applyFont="1" applyBorder="1" applyAlignment="1">
      <alignment horizontal="center" vertical="center" wrapText="1"/>
    </xf>
    <xf numFmtId="0" fontId="4" fillId="75" borderId="113" xfId="0" applyFont="1" applyFill="1" applyBorder="1" applyAlignment="1">
      <alignment horizontal="center" wrapText="1"/>
    </xf>
    <xf numFmtId="0" fontId="59" fillId="65" borderId="69" xfId="0" applyFont="1" applyFill="1" applyBorder="1" applyAlignment="1">
      <alignment horizontal="center" wrapText="1"/>
    </xf>
    <xf numFmtId="0" fontId="59" fillId="66" borderId="69" xfId="0" applyFont="1" applyFill="1" applyBorder="1" applyAlignment="1">
      <alignment horizontal="center" wrapText="1"/>
    </xf>
    <xf numFmtId="0" fontId="59" fillId="49" borderId="70" xfId="0" applyFont="1" applyFill="1" applyBorder="1" applyAlignment="1">
      <alignment horizontal="center" wrapText="1"/>
    </xf>
    <xf numFmtId="0" fontId="5" fillId="76" borderId="114" xfId="0" applyFont="1" applyFill="1" applyBorder="1" applyAlignment="1">
      <alignment horizontal="center"/>
    </xf>
    <xf numFmtId="0" fontId="5" fillId="76" borderId="115" xfId="0" applyFont="1" applyFill="1" applyBorder="1" applyAlignment="1">
      <alignment horizontal="center"/>
    </xf>
    <xf numFmtId="0" fontId="5" fillId="76" borderId="116" xfId="0" applyFont="1" applyFill="1" applyBorder="1" applyAlignment="1">
      <alignment horizontal="center"/>
    </xf>
    <xf numFmtId="0" fontId="36" fillId="76" borderId="117" xfId="0" applyFont="1" applyFill="1" applyBorder="1" applyAlignment="1">
      <alignment horizontal="center"/>
    </xf>
    <xf numFmtId="0" fontId="36" fillId="76" borderId="118" xfId="0" applyFont="1" applyFill="1" applyBorder="1" applyAlignment="1">
      <alignment horizontal="center"/>
    </xf>
    <xf numFmtId="0" fontId="36" fillId="76" borderId="119" xfId="0" applyFont="1" applyFill="1" applyBorder="1" applyAlignment="1">
      <alignment horizontal="center"/>
    </xf>
    <xf numFmtId="0" fontId="38" fillId="44" borderId="110" xfId="0" applyFont="1" applyFill="1" applyBorder="1" applyAlignment="1">
      <alignment wrapText="1"/>
    </xf>
    <xf numFmtId="0" fontId="38" fillId="44" borderId="120" xfId="0" applyFont="1" applyFill="1" applyBorder="1" applyAlignment="1">
      <alignment wrapText="1"/>
    </xf>
    <xf numFmtId="0" fontId="4" fillId="43" borderId="121" xfId="0" applyFont="1" applyFill="1" applyBorder="1" applyAlignment="1">
      <alignment horizontal="center" vertical="center" wrapText="1"/>
    </xf>
    <xf numFmtId="0" fontId="4" fillId="43" borderId="122" xfId="0" applyFont="1" applyFill="1" applyBorder="1" applyAlignment="1">
      <alignment horizontal="center" vertical="center" wrapText="1"/>
    </xf>
    <xf numFmtId="0" fontId="4" fillId="43" borderId="123" xfId="0" applyFont="1" applyFill="1" applyBorder="1" applyAlignment="1">
      <alignment horizontal="center" vertical="center" wrapText="1"/>
    </xf>
    <xf numFmtId="0" fontId="4" fillId="43" borderId="113" xfId="0" applyFont="1" applyFill="1" applyBorder="1" applyAlignment="1">
      <alignment horizontal="center" vertical="center" wrapText="1"/>
    </xf>
    <xf numFmtId="0" fontId="4" fillId="75" borderId="122" xfId="0" applyFont="1" applyFill="1" applyBorder="1" applyAlignment="1">
      <alignment horizontal="center" wrapText="1"/>
    </xf>
    <xf numFmtId="0" fontId="4" fillId="77" borderId="124" xfId="0" applyFont="1" applyFill="1" applyBorder="1" applyAlignment="1">
      <alignment horizontal="center" vertical="center" wrapText="1"/>
    </xf>
    <xf numFmtId="0" fontId="4" fillId="77" borderId="98" xfId="0" applyFont="1" applyFill="1" applyBorder="1" applyAlignment="1">
      <alignment horizontal="center" vertical="center" wrapText="1"/>
    </xf>
    <xf numFmtId="0" fontId="4" fillId="77" borderId="122" xfId="0" applyFont="1" applyFill="1" applyBorder="1" applyAlignment="1">
      <alignment horizontal="center" vertical="center" wrapText="1"/>
    </xf>
    <xf numFmtId="0" fontId="4" fillId="77" borderId="125" xfId="0" applyFont="1" applyFill="1" applyBorder="1" applyAlignment="1">
      <alignment horizontal="center" vertical="center" wrapText="1"/>
    </xf>
    <xf numFmtId="0" fontId="4" fillId="77" borderId="100" xfId="0" applyFont="1" applyFill="1" applyBorder="1" applyAlignment="1">
      <alignment horizontal="center" vertical="center" wrapText="1"/>
    </xf>
    <xf numFmtId="0" fontId="4" fillId="77" borderId="113" xfId="0" applyFont="1" applyFill="1" applyBorder="1" applyAlignment="1">
      <alignment horizontal="center" vertical="center" wrapText="1"/>
    </xf>
    <xf numFmtId="0" fontId="4" fillId="78" borderId="126" xfId="0" applyFont="1" applyFill="1" applyBorder="1" applyAlignment="1">
      <alignment vertical="center" wrapText="1"/>
    </xf>
    <xf numFmtId="0" fontId="4" fillId="78" borderId="127" xfId="0" applyFont="1" applyFill="1" applyBorder="1" applyAlignment="1">
      <alignment vertical="center" wrapText="1"/>
    </xf>
    <xf numFmtId="0" fontId="39" fillId="44" borderId="65" xfId="0" applyFont="1" applyFill="1" applyBorder="1" applyAlignment="1">
      <alignment horizontal="center" vertical="center" wrapText="1"/>
    </xf>
    <xf numFmtId="0" fontId="39" fillId="44" borderId="128" xfId="0" applyFont="1" applyFill="1" applyBorder="1" applyAlignment="1">
      <alignment horizontal="center" vertical="center" wrapText="1"/>
    </xf>
    <xf numFmtId="0" fontId="59" fillId="64" borderId="0" xfId="0" applyFont="1" applyFill="1" applyBorder="1" applyAlignment="1">
      <alignment horizontal="center" wrapText="1"/>
    </xf>
    <xf numFmtId="0" fontId="59" fillId="64" borderId="129" xfId="0" applyFont="1" applyFill="1" applyBorder="1" applyAlignment="1">
      <alignment horizontal="center" wrapText="1"/>
    </xf>
    <xf numFmtId="9" fontId="59" fillId="65" borderId="93" xfId="0" applyNumberFormat="1" applyFont="1" applyFill="1" applyBorder="1" applyAlignment="1">
      <alignment horizontal="center" wrapText="1"/>
    </xf>
    <xf numFmtId="9" fontId="59" fillId="65" borderId="130" xfId="0" applyNumberFormat="1" applyFont="1" applyFill="1" applyBorder="1" applyAlignment="1">
      <alignment horizontal="center" wrapText="1"/>
    </xf>
    <xf numFmtId="0" fontId="59" fillId="66" borderId="93" xfId="0" applyFont="1" applyFill="1" applyBorder="1" applyAlignment="1">
      <alignment horizontal="center" wrapText="1"/>
    </xf>
    <xf numFmtId="0" fontId="59" fillId="66" borderId="130" xfId="0" applyFont="1" applyFill="1" applyBorder="1" applyAlignment="1">
      <alignment horizontal="center" wrapText="1"/>
    </xf>
    <xf numFmtId="0" fontId="59" fillId="49" borderId="131" xfId="0" applyFont="1" applyFill="1" applyBorder="1" applyAlignment="1">
      <alignment horizontal="center" wrapText="1"/>
    </xf>
    <xf numFmtId="0" fontId="59" fillId="67" borderId="44" xfId="0" applyFont="1" applyFill="1" applyBorder="1" applyAlignment="1">
      <alignment horizontal="center" wrapText="1"/>
    </xf>
    <xf numFmtId="0" fontId="59" fillId="67" borderId="132" xfId="0" applyFont="1" applyFill="1" applyBorder="1" applyAlignment="1">
      <alignment horizontal="center" wrapText="1"/>
    </xf>
    <xf numFmtId="9" fontId="59" fillId="65" borderId="72" xfId="0" applyNumberFormat="1" applyFont="1" applyFill="1" applyBorder="1" applyAlignment="1">
      <alignment horizontal="center" wrapText="1"/>
    </xf>
    <xf numFmtId="9" fontId="59" fillId="66" borderId="72" xfId="0" applyNumberFormat="1" applyFont="1" applyFill="1" applyBorder="1" applyAlignment="1">
      <alignment horizontal="center" wrapText="1"/>
    </xf>
    <xf numFmtId="0" fontId="59" fillId="49" borderId="51" xfId="0" applyFont="1" applyFill="1" applyBorder="1" applyAlignment="1">
      <alignment horizontal="center" wrapText="1"/>
    </xf>
    <xf numFmtId="0" fontId="59" fillId="65" borderId="133" xfId="0" applyFont="1" applyFill="1" applyBorder="1" applyAlignment="1">
      <alignment horizontal="center" wrapText="1"/>
    </xf>
    <xf numFmtId="0" fontId="59" fillId="66" borderId="133" xfId="0" applyFont="1" applyFill="1" applyBorder="1" applyAlignment="1">
      <alignment horizontal="center" wrapText="1"/>
    </xf>
    <xf numFmtId="0" fontId="59" fillId="49" borderId="134" xfId="0" applyFont="1" applyFill="1" applyBorder="1" applyAlignment="1">
      <alignment horizontal="center" wrapText="1"/>
    </xf>
    <xf numFmtId="0" fontId="59" fillId="67" borderId="95" xfId="0" applyFont="1" applyFill="1" applyBorder="1" applyAlignment="1">
      <alignment horizontal="center" wrapText="1"/>
    </xf>
    <xf numFmtId="0" fontId="59" fillId="67" borderId="96" xfId="0" applyFont="1" applyFill="1" applyBorder="1" applyAlignment="1">
      <alignment horizontal="center" wrapText="1"/>
    </xf>
    <xf numFmtId="0" fontId="4" fillId="79" borderId="92" xfId="0" applyFont="1" applyFill="1" applyBorder="1" applyAlignment="1">
      <alignment horizontal="center" vertical="center"/>
    </xf>
    <xf numFmtId="0" fontId="0" fillId="47" borderId="92" xfId="0" applyFill="1" applyBorder="1" applyAlignment="1">
      <alignment horizontal="center" vertical="center"/>
    </xf>
    <xf numFmtId="0" fontId="0" fillId="47" borderId="133" xfId="0" applyFill="1" applyBorder="1" applyAlignment="1">
      <alignment horizontal="center" vertical="center"/>
    </xf>
    <xf numFmtId="0" fontId="59" fillId="49" borderId="75" xfId="0" applyFont="1" applyFill="1" applyBorder="1" applyAlignment="1">
      <alignment horizontal="center" wrapText="1"/>
    </xf>
    <xf numFmtId="0" fontId="39" fillId="44" borderId="25" xfId="0" applyFont="1" applyFill="1" applyBorder="1" applyAlignment="1">
      <alignment horizontal="center" vertical="center" wrapText="1"/>
    </xf>
    <xf numFmtId="0" fontId="59" fillId="64" borderId="66" xfId="0" applyFont="1" applyFill="1" applyBorder="1" applyAlignment="1">
      <alignment horizontal="center" wrapText="1"/>
    </xf>
    <xf numFmtId="0" fontId="59" fillId="65" borderId="72" xfId="0" applyFont="1" applyFill="1" applyBorder="1" applyAlignment="1">
      <alignment horizontal="center" wrapText="1"/>
    </xf>
    <xf numFmtId="0" fontId="59" fillId="49" borderId="92" xfId="0" applyFont="1" applyFill="1" applyBorder="1" applyAlignment="1">
      <alignment horizontal="center" wrapText="1"/>
    </xf>
    <xf numFmtId="0" fontId="11" fillId="42" borderId="27" xfId="0" applyFont="1" applyFill="1" applyBorder="1" applyAlignment="1">
      <alignment horizontal="center" wrapText="1"/>
    </xf>
    <xf numFmtId="0" fontId="11" fillId="42" borderId="98" xfId="0" applyFont="1" applyFill="1" applyBorder="1" applyAlignment="1">
      <alignment horizontal="center" wrapText="1"/>
    </xf>
    <xf numFmtId="0" fontId="11" fillId="42" borderId="28" xfId="0" applyFont="1" applyFill="1" applyBorder="1" applyAlignment="1">
      <alignment horizontal="center" wrapText="1"/>
    </xf>
    <xf numFmtId="0" fontId="39" fillId="44" borderId="135" xfId="0" applyFont="1" applyFill="1" applyBorder="1" applyAlignment="1">
      <alignment horizontal="center" vertical="center" wrapText="1"/>
    </xf>
    <xf numFmtId="0" fontId="59" fillId="64" borderId="92" xfId="0" applyFont="1" applyFill="1" applyBorder="1" applyAlignment="1">
      <alignment horizontal="center" wrapText="1"/>
    </xf>
    <xf numFmtId="0" fontId="59" fillId="80" borderId="69" xfId="0" applyFont="1" applyFill="1" applyBorder="1" applyAlignment="1">
      <alignment horizontal="center" wrapText="1"/>
    </xf>
    <xf numFmtId="0" fontId="59" fillId="80" borderId="136" xfId="0" applyFont="1" applyFill="1" applyBorder="1" applyAlignment="1">
      <alignment horizontal="center" wrapText="1"/>
    </xf>
    <xf numFmtId="0" fontId="11" fillId="42" borderId="99" xfId="0" applyFont="1" applyFill="1" applyBorder="1" applyAlignment="1">
      <alignment horizontal="center" wrapText="1"/>
    </xf>
    <xf numFmtId="0" fontId="11" fillId="42" borderId="100" xfId="0" applyFont="1" applyFill="1" applyBorder="1" applyAlignment="1">
      <alignment horizontal="center" wrapText="1"/>
    </xf>
    <xf numFmtId="0" fontId="11" fillId="42" borderId="101" xfId="0" applyFont="1" applyFill="1" applyBorder="1" applyAlignment="1">
      <alignment horizontal="center" wrapText="1"/>
    </xf>
    <xf numFmtId="0" fontId="59" fillId="65" borderId="75" xfId="0" applyFont="1" applyFill="1" applyBorder="1" applyAlignment="1">
      <alignment horizontal="left" wrapText="1"/>
    </xf>
    <xf numFmtId="0" fontId="59" fillId="65" borderId="69" xfId="0" applyFont="1" applyFill="1" applyBorder="1" applyAlignment="1">
      <alignment horizontal="left" wrapText="1"/>
    </xf>
    <xf numFmtId="0" fontId="59" fillId="80" borderId="133" xfId="0" applyFont="1" applyFill="1" applyBorder="1" applyAlignment="1">
      <alignment horizontal="center" wrapText="1"/>
    </xf>
    <xf numFmtId="0" fontId="59" fillId="80" borderId="137" xfId="0" applyFont="1" applyFill="1" applyBorder="1" applyAlignment="1">
      <alignment horizontal="center" wrapText="1"/>
    </xf>
    <xf numFmtId="0" fontId="59" fillId="81" borderId="133" xfId="0" applyFont="1" applyFill="1" applyBorder="1" applyAlignment="1">
      <alignment horizontal="center" wrapText="1"/>
    </xf>
    <xf numFmtId="0" fontId="59" fillId="81" borderId="69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371475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667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85725</xdr:colOff>
      <xdr:row>5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781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9</xdr:col>
      <xdr:colOff>390525</xdr:colOff>
      <xdr:row>2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410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66675</xdr:rowOff>
    </xdr:from>
    <xdr:to>
      <xdr:col>9</xdr:col>
      <xdr:colOff>361950</xdr:colOff>
      <xdr:row>17</xdr:row>
      <xdr:rowOff>371475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5391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66675</xdr:rowOff>
    </xdr:from>
    <xdr:to>
      <xdr:col>9</xdr:col>
      <xdr:colOff>400050</xdr:colOff>
      <xdr:row>32</xdr:row>
      <xdr:rowOff>371475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925425"/>
          <a:ext cx="540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9</xdr:col>
      <xdr:colOff>409575</xdr:colOff>
      <xdr:row>2</xdr:row>
      <xdr:rowOff>342900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539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9</xdr:col>
      <xdr:colOff>390525</xdr:colOff>
      <xdr:row>17</xdr:row>
      <xdr:rowOff>342900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77000"/>
          <a:ext cx="540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66675</xdr:rowOff>
    </xdr:from>
    <xdr:to>
      <xdr:col>9</xdr:col>
      <xdr:colOff>390525</xdr:colOff>
      <xdr:row>32</xdr:row>
      <xdr:rowOff>371475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25425"/>
          <a:ext cx="540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9</xdr:col>
      <xdr:colOff>390525</xdr:colOff>
      <xdr:row>2</xdr:row>
      <xdr:rowOff>371475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40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85725</xdr:rowOff>
    </xdr:from>
    <xdr:to>
      <xdr:col>9</xdr:col>
      <xdr:colOff>390525</xdr:colOff>
      <xdr:row>17</xdr:row>
      <xdr:rowOff>381000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515100"/>
          <a:ext cx="540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85725</xdr:rowOff>
    </xdr:from>
    <xdr:to>
      <xdr:col>9</xdr:col>
      <xdr:colOff>390525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44475"/>
          <a:ext cx="540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1000125</xdr:colOff>
      <xdr:row>6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94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6</xdr:col>
      <xdr:colOff>447675</xdr:colOff>
      <xdr:row>5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52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opri&#233;taire\Bureau\ZATOPEK_Pr&#233;paration_10Km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oger\LOCALS~1\Temp\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10 Km 5 ent."/>
      <sheetName val="10 Km 4 ent."/>
      <sheetName val="10 Km 3 ent."/>
      <sheetName val="constantes"/>
      <sheetName val="V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1"/>
  <sheetViews>
    <sheetView tabSelected="1" workbookViewId="0" topLeftCell="A1">
      <selection activeCell="M35" sqref="M35"/>
    </sheetView>
  </sheetViews>
  <sheetFormatPr defaultColWidth="11.421875" defaultRowHeight="12.75"/>
  <cols>
    <col min="2" max="2" width="12.140625" style="0" customWidth="1"/>
    <col min="10" max="10" width="13.140625" style="0" customWidth="1"/>
    <col min="11" max="11" width="15.8515625" style="0" bestFit="1" customWidth="1"/>
    <col min="12" max="12" width="14.00390625" style="0" bestFit="1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8.75" thickBot="1">
      <c r="A5" s="291" t="s">
        <v>173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 ht="12.75" thickBot="1">
      <c r="A6" s="240"/>
      <c r="B6" s="241"/>
      <c r="C6" s="241"/>
      <c r="D6" s="241"/>
      <c r="E6" s="241"/>
      <c r="F6" s="241"/>
      <c r="G6" s="241"/>
      <c r="H6" s="241"/>
      <c r="I6" s="241"/>
      <c r="J6" s="242"/>
    </row>
    <row r="7" spans="1:10" ht="12.75" thickBot="1">
      <c r="A7" s="287" t="s">
        <v>160</v>
      </c>
      <c r="B7" s="288"/>
      <c r="C7" s="288"/>
      <c r="D7" s="289"/>
      <c r="E7" s="289"/>
      <c r="F7" s="289"/>
      <c r="G7" s="289"/>
      <c r="H7" s="289"/>
      <c r="I7" s="289"/>
      <c r="J7" s="290"/>
    </row>
    <row r="8" spans="1:10" ht="8.25" customHeight="1" hidden="1" thickBot="1">
      <c r="A8" s="246" t="s">
        <v>17</v>
      </c>
      <c r="B8" s="247"/>
      <c r="C8" s="247"/>
      <c r="D8" s="247"/>
      <c r="E8" s="248"/>
      <c r="F8" s="248"/>
      <c r="G8" s="248"/>
      <c r="H8" s="248"/>
      <c r="I8" s="248"/>
      <c r="J8" s="249"/>
    </row>
    <row r="9" spans="1:10" ht="18" customHeight="1">
      <c r="A9" s="294" t="s">
        <v>144</v>
      </c>
      <c r="B9" s="295"/>
      <c r="C9" s="295"/>
      <c r="D9" s="295"/>
      <c r="E9" s="295"/>
      <c r="F9" s="295"/>
      <c r="G9" s="295"/>
      <c r="H9" s="295"/>
      <c r="I9" s="295"/>
      <c r="J9" s="296"/>
    </row>
    <row r="10" spans="1:10" ht="12.75" customHeight="1">
      <c r="A10" s="253" t="s">
        <v>145</v>
      </c>
      <c r="B10" s="254"/>
      <c r="C10" s="254"/>
      <c r="D10" s="254"/>
      <c r="E10" s="254"/>
      <c r="F10" s="254"/>
      <c r="G10" s="254"/>
      <c r="H10" s="254"/>
      <c r="I10" s="254"/>
      <c r="J10" s="255"/>
    </row>
    <row r="11" spans="1:10" ht="12.75" customHeight="1">
      <c r="A11" s="253" t="s">
        <v>284</v>
      </c>
      <c r="B11" s="254"/>
      <c r="C11" s="254"/>
      <c r="D11" s="254"/>
      <c r="E11" s="254"/>
      <c r="F11" s="254"/>
      <c r="G11" s="254"/>
      <c r="H11" s="254"/>
      <c r="I11" s="254"/>
      <c r="J11" s="255"/>
    </row>
    <row r="12" spans="1:10" ht="12.75" customHeight="1">
      <c r="A12" s="148"/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 ht="12">
      <c r="A13" s="256" t="s">
        <v>174</v>
      </c>
      <c r="B13" s="300"/>
      <c r="C13" s="300"/>
      <c r="D13" s="300"/>
      <c r="E13" s="300"/>
      <c r="F13" s="300"/>
      <c r="G13" s="300"/>
      <c r="H13" s="300"/>
      <c r="I13" s="300"/>
      <c r="J13" s="301"/>
    </row>
    <row r="14" spans="1:10" ht="15" customHeight="1">
      <c r="A14" s="253" t="s">
        <v>175</v>
      </c>
      <c r="B14" s="254"/>
      <c r="C14" s="254"/>
      <c r="D14" s="254"/>
      <c r="E14" s="254"/>
      <c r="F14" s="254"/>
      <c r="G14" s="254"/>
      <c r="H14" s="254"/>
      <c r="I14" s="254"/>
      <c r="J14" s="255"/>
    </row>
    <row r="15" spans="1:10" ht="15" customHeight="1">
      <c r="A15" s="256" t="s">
        <v>277</v>
      </c>
      <c r="B15" s="254"/>
      <c r="C15" s="254"/>
      <c r="D15" s="254"/>
      <c r="E15" s="254"/>
      <c r="F15" s="254"/>
      <c r="G15" s="254"/>
      <c r="H15" s="254"/>
      <c r="I15" s="254"/>
      <c r="J15" s="255"/>
    </row>
    <row r="16" spans="1:10" ht="12">
      <c r="A16" s="253" t="s">
        <v>177</v>
      </c>
      <c r="B16" s="254"/>
      <c r="C16" s="254"/>
      <c r="D16" s="254"/>
      <c r="E16" s="254"/>
      <c r="F16" s="254"/>
      <c r="G16" s="254"/>
      <c r="H16" s="254"/>
      <c r="I16" s="254"/>
      <c r="J16" s="255"/>
    </row>
    <row r="17" spans="1:10" ht="12">
      <c r="A17" s="256" t="s">
        <v>278</v>
      </c>
      <c r="B17" s="254"/>
      <c r="C17" s="254"/>
      <c r="D17" s="254"/>
      <c r="E17" s="254"/>
      <c r="F17" s="254"/>
      <c r="G17" s="254"/>
      <c r="H17" s="254"/>
      <c r="I17" s="254"/>
      <c r="J17" s="255"/>
    </row>
    <row r="18" spans="1:10" ht="12">
      <c r="A18" s="253" t="s">
        <v>176</v>
      </c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0" ht="25.5" customHeight="1">
      <c r="A19" s="253"/>
      <c r="B19" s="254"/>
      <c r="C19" s="254"/>
      <c r="D19" s="254"/>
      <c r="E19" s="254"/>
      <c r="F19" s="254"/>
      <c r="G19" s="254"/>
      <c r="H19" s="254"/>
      <c r="I19" s="254"/>
      <c r="J19" s="255"/>
    </row>
    <row r="20" spans="1:10" ht="12">
      <c r="A20" s="253" t="s">
        <v>178</v>
      </c>
      <c r="B20" s="254"/>
      <c r="C20" s="254"/>
      <c r="D20" s="254"/>
      <c r="E20" s="254"/>
      <c r="F20" s="254"/>
      <c r="G20" s="254"/>
      <c r="H20" s="254"/>
      <c r="I20" s="254"/>
      <c r="J20" s="255"/>
    </row>
    <row r="21" spans="1:10" ht="12">
      <c r="A21" s="253" t="s">
        <v>279</v>
      </c>
      <c r="B21" s="254"/>
      <c r="C21" s="254"/>
      <c r="D21" s="254"/>
      <c r="E21" s="254"/>
      <c r="F21" s="254"/>
      <c r="G21" s="254"/>
      <c r="H21" s="254"/>
      <c r="I21" s="254"/>
      <c r="J21" s="255"/>
    </row>
    <row r="22" spans="1:10" ht="12">
      <c r="A22" s="253"/>
      <c r="B22" s="254"/>
      <c r="C22" s="254"/>
      <c r="D22" s="254"/>
      <c r="E22" s="254"/>
      <c r="F22" s="254"/>
      <c r="G22" s="254"/>
      <c r="H22" s="254"/>
      <c r="I22" s="254"/>
      <c r="J22" s="255"/>
    </row>
    <row r="23" spans="1:10" ht="15.75" customHeight="1">
      <c r="A23" s="256" t="s">
        <v>159</v>
      </c>
      <c r="B23" s="254"/>
      <c r="C23" s="254"/>
      <c r="D23" s="254"/>
      <c r="E23" s="254"/>
      <c r="F23" s="254"/>
      <c r="G23" s="254"/>
      <c r="H23" s="254"/>
      <c r="I23" s="254"/>
      <c r="J23" s="255"/>
    </row>
    <row r="24" spans="1:10" ht="15" customHeight="1">
      <c r="A24" s="253" t="s">
        <v>146</v>
      </c>
      <c r="B24" s="254"/>
      <c r="C24" s="254"/>
      <c r="D24" s="254"/>
      <c r="E24" s="254"/>
      <c r="F24" s="254"/>
      <c r="G24" s="254"/>
      <c r="H24" s="254"/>
      <c r="I24" s="254"/>
      <c r="J24" s="255"/>
    </row>
    <row r="25" spans="1:10" ht="16.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5"/>
    </row>
    <row r="26" spans="1:10" s="16" customFormat="1" ht="17.25" customHeight="1">
      <c r="A26" s="256" t="s">
        <v>179</v>
      </c>
      <c r="B26" s="254"/>
      <c r="C26" s="254"/>
      <c r="D26" s="254"/>
      <c r="E26" s="254"/>
      <c r="F26" s="254"/>
      <c r="G26" s="254"/>
      <c r="H26" s="254"/>
      <c r="I26" s="254"/>
      <c r="J26" s="255"/>
    </row>
    <row r="27" spans="1:10" s="16" customFormat="1" ht="18.75" customHeight="1" thickBot="1">
      <c r="A27" s="250" t="s">
        <v>147</v>
      </c>
      <c r="B27" s="251"/>
      <c r="C27" s="251"/>
      <c r="D27" s="251"/>
      <c r="E27" s="251"/>
      <c r="F27" s="251"/>
      <c r="G27" s="251"/>
      <c r="H27" s="251"/>
      <c r="I27" s="251"/>
      <c r="J27" s="252"/>
    </row>
    <row r="28" spans="1:10" s="16" customFormat="1" ht="12.75" thickBot="1">
      <c r="A28" s="297" t="s">
        <v>18</v>
      </c>
      <c r="B28" s="298"/>
      <c r="C28" s="298"/>
      <c r="D28" s="298"/>
      <c r="E28" s="298"/>
      <c r="F28" s="298"/>
      <c r="G28" s="298"/>
      <c r="H28" s="298"/>
      <c r="I28" s="298"/>
      <c r="J28" s="299"/>
    </row>
    <row r="29" spans="1:10" s="16" customFormat="1" ht="12">
      <c r="A29" s="267" t="s">
        <v>149</v>
      </c>
      <c r="B29" s="268"/>
      <c r="C29" s="268"/>
      <c r="D29" s="268"/>
      <c r="E29" s="269"/>
      <c r="F29" s="269"/>
      <c r="G29" s="269"/>
      <c r="H29" s="269"/>
      <c r="I29" s="269"/>
      <c r="J29" s="270"/>
    </row>
    <row r="30" spans="1:10" s="16" customFormat="1" ht="12">
      <c r="A30" s="267" t="s">
        <v>148</v>
      </c>
      <c r="B30" s="268"/>
      <c r="C30" s="268"/>
      <c r="D30" s="268"/>
      <c r="E30" s="269"/>
      <c r="F30" s="269"/>
      <c r="G30" s="269"/>
      <c r="H30" s="269"/>
      <c r="I30" s="269"/>
      <c r="J30" s="270"/>
    </row>
    <row r="31" spans="1:10" s="16" customFormat="1" ht="12.75" thickBot="1">
      <c r="A31" s="267" t="s">
        <v>221</v>
      </c>
      <c r="B31" s="268"/>
      <c r="C31" s="268"/>
      <c r="D31" s="268"/>
      <c r="E31" s="269"/>
      <c r="F31" s="269"/>
      <c r="G31" s="269"/>
      <c r="H31" s="269"/>
      <c r="I31" s="269"/>
      <c r="J31" s="270"/>
    </row>
    <row r="32" spans="1:10" s="16" customFormat="1" ht="12.75" thickBot="1">
      <c r="A32" s="271" t="s">
        <v>120</v>
      </c>
      <c r="B32" s="272"/>
      <c r="C32" s="272"/>
      <c r="D32" s="273"/>
      <c r="E32" s="273"/>
      <c r="F32" s="273"/>
      <c r="G32" s="273"/>
      <c r="H32" s="273"/>
      <c r="I32" s="273"/>
      <c r="J32" s="274"/>
    </row>
    <row r="33" spans="1:10" s="16" customFormat="1" ht="12.75" thickBot="1">
      <c r="A33" s="278" t="s">
        <v>275</v>
      </c>
      <c r="B33" s="279"/>
      <c r="C33" s="279"/>
      <c r="D33" s="279"/>
      <c r="E33" s="279"/>
      <c r="F33" s="279"/>
      <c r="G33" s="279"/>
      <c r="H33" s="279"/>
      <c r="I33" s="279"/>
      <c r="J33" s="280"/>
    </row>
    <row r="34" spans="1:10" s="16" customFormat="1" ht="12.75" thickBot="1">
      <c r="A34" s="271" t="s">
        <v>119</v>
      </c>
      <c r="B34" s="272"/>
      <c r="C34" s="272"/>
      <c r="D34" s="273"/>
      <c r="E34" s="273"/>
      <c r="F34" s="273"/>
      <c r="G34" s="273"/>
      <c r="H34" s="273"/>
      <c r="I34" s="273"/>
      <c r="J34" s="274"/>
    </row>
    <row r="35" spans="1:10" s="16" customFormat="1" ht="12">
      <c r="A35" s="281" t="s">
        <v>161</v>
      </c>
      <c r="B35" s="282"/>
      <c r="C35" s="282"/>
      <c r="D35" s="282"/>
      <c r="E35" s="282"/>
      <c r="F35" s="282"/>
      <c r="G35" s="282"/>
      <c r="H35" s="282"/>
      <c r="I35" s="282"/>
      <c r="J35" s="283"/>
    </row>
    <row r="36" spans="1:10" s="16" customFormat="1" ht="12">
      <c r="A36" s="257" t="s">
        <v>130</v>
      </c>
      <c r="B36" s="258"/>
      <c r="C36" s="258"/>
      <c r="D36" s="258"/>
      <c r="E36" s="258"/>
      <c r="F36" s="258"/>
      <c r="G36" s="258"/>
      <c r="H36" s="258"/>
      <c r="I36" s="258"/>
      <c r="J36" s="259"/>
    </row>
    <row r="37" spans="1:10" s="16" customFormat="1" ht="12">
      <c r="A37" s="257" t="s">
        <v>171</v>
      </c>
      <c r="B37" s="258"/>
      <c r="C37" s="258"/>
      <c r="D37" s="258"/>
      <c r="E37" s="258"/>
      <c r="F37" s="258"/>
      <c r="G37" s="258"/>
      <c r="H37" s="258"/>
      <c r="I37" s="258"/>
      <c r="J37" s="259"/>
    </row>
    <row r="38" spans="1:10" s="16" customFormat="1" ht="12">
      <c r="A38" s="257" t="s">
        <v>130</v>
      </c>
      <c r="B38" s="258"/>
      <c r="C38" s="258"/>
      <c r="D38" s="258"/>
      <c r="E38" s="258"/>
      <c r="F38" s="258"/>
      <c r="G38" s="258"/>
      <c r="H38" s="258"/>
      <c r="I38" s="258"/>
      <c r="J38" s="259"/>
    </row>
    <row r="39" spans="1:10" s="16" customFormat="1" ht="12">
      <c r="A39" s="275" t="s">
        <v>131</v>
      </c>
      <c r="B39" s="276"/>
      <c r="C39" s="276"/>
      <c r="D39" s="276"/>
      <c r="E39" s="276"/>
      <c r="F39" s="276"/>
      <c r="G39" s="276"/>
      <c r="H39" s="276"/>
      <c r="I39" s="276"/>
      <c r="J39" s="277"/>
    </row>
    <row r="40" spans="1:10" s="16" customFormat="1" ht="12">
      <c r="A40" s="284" t="s">
        <v>132</v>
      </c>
      <c r="B40" s="285"/>
      <c r="C40" s="285"/>
      <c r="D40" s="285"/>
      <c r="E40" s="285"/>
      <c r="F40" s="285"/>
      <c r="G40" s="285"/>
      <c r="H40" s="285"/>
      <c r="I40" s="285"/>
      <c r="J40" s="286"/>
    </row>
    <row r="41" spans="1:10" ht="12.75" customHeight="1">
      <c r="A41" s="257" t="s">
        <v>133</v>
      </c>
      <c r="B41" s="258"/>
      <c r="C41" s="258"/>
      <c r="D41" s="258"/>
      <c r="E41" s="258"/>
      <c r="F41" s="258"/>
      <c r="G41" s="258"/>
      <c r="H41" s="258"/>
      <c r="I41" s="258"/>
      <c r="J41" s="259"/>
    </row>
    <row r="42" spans="1:10" ht="12.75" customHeight="1">
      <c r="A42" s="284" t="s">
        <v>134</v>
      </c>
      <c r="B42" s="285"/>
      <c r="C42" s="285"/>
      <c r="D42" s="285"/>
      <c r="E42" s="285"/>
      <c r="F42" s="285"/>
      <c r="G42" s="285"/>
      <c r="H42" s="285"/>
      <c r="I42" s="285"/>
      <c r="J42" s="286"/>
    </row>
    <row r="43" spans="1:10" ht="12.75" customHeight="1">
      <c r="A43" s="257" t="s">
        <v>135</v>
      </c>
      <c r="B43" s="258"/>
      <c r="C43" s="258"/>
      <c r="D43" s="258"/>
      <c r="E43" s="258"/>
      <c r="F43" s="258"/>
      <c r="G43" s="258"/>
      <c r="H43" s="258"/>
      <c r="I43" s="258"/>
      <c r="J43" s="259"/>
    </row>
    <row r="44" spans="1:13" ht="15.75" customHeight="1">
      <c r="A44" s="257" t="s">
        <v>136</v>
      </c>
      <c r="B44" s="258"/>
      <c r="C44" s="258"/>
      <c r="D44" s="258"/>
      <c r="E44" s="258"/>
      <c r="F44" s="258"/>
      <c r="G44" s="258"/>
      <c r="H44" s="258"/>
      <c r="I44" s="258"/>
      <c r="J44" s="259"/>
      <c r="K44" s="5"/>
      <c r="L44" s="5"/>
      <c r="M44" s="4"/>
    </row>
    <row r="45" spans="1:13" ht="14.25" customHeight="1">
      <c r="A45" s="257" t="s">
        <v>137</v>
      </c>
      <c r="B45" s="258"/>
      <c r="C45" s="258"/>
      <c r="D45" s="258"/>
      <c r="E45" s="258"/>
      <c r="F45" s="258"/>
      <c r="G45" s="258"/>
      <c r="H45" s="258"/>
      <c r="I45" s="258"/>
      <c r="J45" s="259"/>
      <c r="K45" s="5"/>
      <c r="L45" s="5"/>
      <c r="M45" s="4"/>
    </row>
    <row r="46" spans="1:13" ht="18.75" customHeight="1">
      <c r="A46" s="257" t="s">
        <v>138</v>
      </c>
      <c r="B46" s="258"/>
      <c r="C46" s="258"/>
      <c r="D46" s="258"/>
      <c r="E46" s="258"/>
      <c r="F46" s="258"/>
      <c r="G46" s="258"/>
      <c r="H46" s="258"/>
      <c r="I46" s="258"/>
      <c r="J46" s="259"/>
      <c r="K46" s="5"/>
      <c r="L46" s="5"/>
      <c r="M46" s="4"/>
    </row>
    <row r="47" spans="1:10" ht="12.75" customHeight="1">
      <c r="A47" s="284" t="s">
        <v>139</v>
      </c>
      <c r="B47" s="285"/>
      <c r="C47" s="285"/>
      <c r="D47" s="285"/>
      <c r="E47" s="285"/>
      <c r="F47" s="285"/>
      <c r="G47" s="285"/>
      <c r="H47" s="285"/>
      <c r="I47" s="285"/>
      <c r="J47" s="286"/>
    </row>
    <row r="48" spans="1:10" ht="12.75" customHeight="1">
      <c r="A48" s="257" t="s">
        <v>140</v>
      </c>
      <c r="B48" s="258"/>
      <c r="C48" s="258"/>
      <c r="D48" s="258"/>
      <c r="E48" s="258"/>
      <c r="F48" s="258"/>
      <c r="G48" s="258"/>
      <c r="H48" s="258"/>
      <c r="I48" s="258"/>
      <c r="J48" s="259"/>
    </row>
    <row r="49" spans="1:10" ht="12.75" customHeight="1">
      <c r="A49" s="257" t="s">
        <v>141</v>
      </c>
      <c r="B49" s="258"/>
      <c r="C49" s="258"/>
      <c r="D49" s="258"/>
      <c r="E49" s="258"/>
      <c r="F49" s="258"/>
      <c r="G49" s="258"/>
      <c r="H49" s="258"/>
      <c r="I49" s="258"/>
      <c r="J49" s="259"/>
    </row>
    <row r="50" spans="1:14" ht="15.75">
      <c r="A50" s="257" t="s">
        <v>142</v>
      </c>
      <c r="B50" s="258"/>
      <c r="C50" s="258"/>
      <c r="D50" s="258"/>
      <c r="E50" s="258"/>
      <c r="F50" s="258"/>
      <c r="G50" s="258"/>
      <c r="H50" s="258"/>
      <c r="I50" s="258"/>
      <c r="J50" s="259"/>
      <c r="K50" s="3"/>
      <c r="L50" s="3"/>
      <c r="M50" s="3"/>
      <c r="N50" s="3"/>
    </row>
    <row r="51" spans="1:14" ht="15" customHeight="1" thickBot="1">
      <c r="A51" s="320" t="s">
        <v>143</v>
      </c>
      <c r="B51" s="258"/>
      <c r="C51" s="258"/>
      <c r="D51" s="258"/>
      <c r="E51" s="258"/>
      <c r="F51" s="258"/>
      <c r="G51" s="258"/>
      <c r="H51" s="258"/>
      <c r="I51" s="258"/>
      <c r="J51" s="259"/>
      <c r="K51" s="3"/>
      <c r="L51" s="3"/>
      <c r="M51" s="3"/>
      <c r="N51" s="3"/>
    </row>
    <row r="52" spans="1:14" ht="16.5" thickBot="1">
      <c r="A52" s="263" t="s">
        <v>162</v>
      </c>
      <c r="B52" s="264"/>
      <c r="C52" s="264"/>
      <c r="D52" s="265"/>
      <c r="E52" s="265"/>
      <c r="F52" s="265"/>
      <c r="G52" s="265"/>
      <c r="H52" s="265"/>
      <c r="I52" s="265"/>
      <c r="J52" s="266"/>
      <c r="K52" s="3"/>
      <c r="L52" s="3"/>
      <c r="M52" s="3"/>
      <c r="N52" s="3"/>
    </row>
    <row r="53" spans="1:14" ht="16.5" thickBot="1">
      <c r="A53" s="330" t="s">
        <v>164</v>
      </c>
      <c r="B53" s="334"/>
      <c r="C53" s="335" t="s">
        <v>165</v>
      </c>
      <c r="D53" s="331"/>
      <c r="E53" s="332"/>
      <c r="F53" s="336"/>
      <c r="G53" s="330" t="s">
        <v>166</v>
      </c>
      <c r="H53" s="331"/>
      <c r="I53" s="332"/>
      <c r="J53" s="333"/>
      <c r="K53" s="229" t="s">
        <v>286</v>
      </c>
      <c r="L53" s="230" t="s">
        <v>287</v>
      </c>
      <c r="M53" s="3"/>
      <c r="N53" s="3"/>
    </row>
    <row r="54" spans="1:14" ht="13.5" customHeight="1">
      <c r="A54" s="314" t="s">
        <v>123</v>
      </c>
      <c r="B54" s="315"/>
      <c r="C54" s="308" t="s">
        <v>188</v>
      </c>
      <c r="D54" s="309"/>
      <c r="E54" s="309"/>
      <c r="F54" s="310"/>
      <c r="G54" s="243" t="s">
        <v>167</v>
      </c>
      <c r="H54" s="244"/>
      <c r="I54" s="244"/>
      <c r="J54" s="245"/>
      <c r="K54" s="231" t="s">
        <v>288</v>
      </c>
      <c r="L54" s="232">
        <v>1</v>
      </c>
      <c r="M54" s="3"/>
      <c r="N54" s="3"/>
    </row>
    <row r="55" spans="1:14" ht="16.5" customHeight="1">
      <c r="A55" s="304" t="s">
        <v>280</v>
      </c>
      <c r="B55" s="305"/>
      <c r="C55" s="311" t="s">
        <v>121</v>
      </c>
      <c r="D55" s="312"/>
      <c r="E55" s="312"/>
      <c r="F55" s="313"/>
      <c r="G55" s="260" t="s">
        <v>169</v>
      </c>
      <c r="H55" s="261"/>
      <c r="I55" s="261"/>
      <c r="J55" s="262"/>
      <c r="K55" s="233" t="s">
        <v>292</v>
      </c>
      <c r="L55" s="232">
        <v>1</v>
      </c>
      <c r="M55" s="3"/>
      <c r="N55" s="3"/>
    </row>
    <row r="56" spans="1:14" ht="15.75">
      <c r="A56" s="306" t="s">
        <v>124</v>
      </c>
      <c r="B56" s="307"/>
      <c r="C56" s="311" t="s">
        <v>122</v>
      </c>
      <c r="D56" s="312"/>
      <c r="E56" s="312"/>
      <c r="F56" s="313"/>
      <c r="G56" s="260" t="s">
        <v>170</v>
      </c>
      <c r="H56" s="261"/>
      <c r="I56" s="261"/>
      <c r="J56" s="262"/>
      <c r="K56" s="233">
        <v>1</v>
      </c>
      <c r="L56" s="232">
        <v>1</v>
      </c>
      <c r="M56" s="3"/>
      <c r="N56" s="3"/>
    </row>
    <row r="57" spans="1:14" ht="15.75">
      <c r="A57" s="316" t="s">
        <v>282</v>
      </c>
      <c r="B57" s="317"/>
      <c r="C57" s="337" t="s">
        <v>180</v>
      </c>
      <c r="D57" s="338"/>
      <c r="E57" s="338"/>
      <c r="F57" s="339"/>
      <c r="G57" s="324" t="s">
        <v>285</v>
      </c>
      <c r="H57" s="325"/>
      <c r="I57" s="325"/>
      <c r="J57" s="326"/>
      <c r="K57" s="231" t="s">
        <v>37</v>
      </c>
      <c r="L57" s="232">
        <v>0.9</v>
      </c>
      <c r="M57" s="3"/>
      <c r="N57" s="3"/>
    </row>
    <row r="58" spans="1:14" ht="15.75">
      <c r="A58" s="318" t="s">
        <v>283</v>
      </c>
      <c r="B58" s="319"/>
      <c r="C58" s="311" t="s">
        <v>262</v>
      </c>
      <c r="D58" s="312"/>
      <c r="E58" s="312"/>
      <c r="F58" s="313"/>
      <c r="G58" s="260" t="s">
        <v>168</v>
      </c>
      <c r="H58" s="261"/>
      <c r="I58" s="261"/>
      <c r="J58" s="262"/>
      <c r="K58" s="233">
        <v>0.75</v>
      </c>
      <c r="L58" s="232">
        <v>0.8</v>
      </c>
      <c r="M58" s="3"/>
      <c r="N58" s="3"/>
    </row>
    <row r="59" spans="1:14" ht="16.5" thickBot="1">
      <c r="A59" s="302" t="s">
        <v>281</v>
      </c>
      <c r="B59" s="303"/>
      <c r="C59" s="321" t="s">
        <v>263</v>
      </c>
      <c r="D59" s="322"/>
      <c r="E59" s="322"/>
      <c r="F59" s="323"/>
      <c r="G59" s="327" t="s">
        <v>168</v>
      </c>
      <c r="H59" s="328"/>
      <c r="I59" s="328"/>
      <c r="J59" s="329"/>
      <c r="K59" s="234">
        <v>0.7</v>
      </c>
      <c r="L59" s="235">
        <v>0.7</v>
      </c>
      <c r="M59" s="3"/>
      <c r="N59" s="3"/>
    </row>
    <row r="60" spans="2:14" ht="15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1:14" ht="15.75">
      <c r="K65" s="3"/>
      <c r="L65" s="3"/>
      <c r="M65" s="3"/>
      <c r="N65" s="3"/>
    </row>
    <row r="66" spans="11:14" ht="15.75">
      <c r="K66" s="3"/>
      <c r="L66" s="3"/>
      <c r="M66" s="3"/>
      <c r="N66" s="3"/>
    </row>
    <row r="67" spans="11:14" ht="15.75">
      <c r="K67" s="3"/>
      <c r="L67" s="3"/>
      <c r="M67" s="3"/>
      <c r="N67" s="3"/>
    </row>
    <row r="68" spans="11:14" ht="15.75">
      <c r="K68" s="3"/>
      <c r="L68" s="3"/>
      <c r="M68" s="3"/>
      <c r="N68" s="3"/>
    </row>
    <row r="69" spans="11:14" ht="15.75">
      <c r="K69" s="3"/>
      <c r="L69" s="3"/>
      <c r="M69" s="3"/>
      <c r="N69" s="3"/>
    </row>
    <row r="70" spans="11:14" ht="15.75">
      <c r="K70" s="3"/>
      <c r="L70" s="3"/>
      <c r="M70" s="3"/>
      <c r="N70" s="3"/>
    </row>
    <row r="71" spans="11:14" ht="15.75">
      <c r="K71" s="3"/>
      <c r="L71" s="3"/>
      <c r="M71" s="3"/>
      <c r="N71" s="3"/>
    </row>
    <row r="72" spans="11:14" ht="15.75">
      <c r="K72" s="3"/>
      <c r="L72" s="3"/>
      <c r="M72" s="3"/>
      <c r="N72" s="3"/>
    </row>
    <row r="73" spans="11:14" ht="15.75">
      <c r="K73" s="3"/>
      <c r="L73" s="3"/>
      <c r="M73" s="3"/>
      <c r="N73" s="3"/>
    </row>
    <row r="74" spans="11:14" ht="15.75">
      <c r="K74" s="3"/>
      <c r="L74" s="3"/>
      <c r="M74" s="3"/>
      <c r="N74" s="3"/>
    </row>
    <row r="75" spans="11:14" ht="15.75">
      <c r="K75" s="8"/>
      <c r="L75" s="3"/>
      <c r="M75" s="3"/>
      <c r="N75" s="3"/>
    </row>
    <row r="76" spans="11:14" ht="15.75">
      <c r="K76" s="7"/>
      <c r="L76" s="3"/>
      <c r="M76" s="3"/>
      <c r="N76" s="3"/>
    </row>
    <row r="77" spans="11:14" ht="15.75">
      <c r="K77" s="7"/>
      <c r="L77" s="3"/>
      <c r="M77" s="3"/>
      <c r="N77" s="3"/>
    </row>
    <row r="78" spans="11:14" ht="13.5" customHeight="1">
      <c r="K78" s="3"/>
      <c r="L78" s="3"/>
      <c r="M78" s="3"/>
      <c r="N78" s="3"/>
    </row>
    <row r="79" spans="11:14" ht="15.75">
      <c r="K79" s="3"/>
      <c r="L79" s="3"/>
      <c r="M79" s="3"/>
      <c r="N79" s="3"/>
    </row>
    <row r="80" spans="11:14" ht="11.25" customHeight="1">
      <c r="K80" s="3"/>
      <c r="L80" s="3"/>
      <c r="M80" s="3"/>
      <c r="N80" s="3"/>
    </row>
    <row r="81" spans="11:14" ht="15" customHeight="1">
      <c r="K81" s="3"/>
      <c r="L81" s="3"/>
      <c r="M81" s="3"/>
      <c r="N81" s="3"/>
    </row>
    <row r="82" spans="11:14" ht="15" customHeight="1">
      <c r="K82" s="3"/>
      <c r="L82" s="3"/>
      <c r="M82" s="3"/>
      <c r="N82" s="3"/>
    </row>
    <row r="83" spans="11:14" ht="15.75">
      <c r="K83" s="3"/>
      <c r="L83" s="3"/>
      <c r="M83" s="3"/>
      <c r="N83" s="3"/>
    </row>
    <row r="84" spans="11:14" ht="15.75">
      <c r="K84" s="3"/>
      <c r="L84" s="3"/>
      <c r="M84" s="3"/>
      <c r="N84" s="3"/>
    </row>
    <row r="85" spans="11:14" ht="15.75">
      <c r="K85" s="3"/>
      <c r="L85" s="3"/>
      <c r="M85" s="3"/>
      <c r="N85" s="3"/>
    </row>
    <row r="86" spans="11:14" ht="27.75" customHeight="1">
      <c r="K86" s="3"/>
      <c r="L86" s="3"/>
      <c r="M86" s="3"/>
      <c r="N86" s="3"/>
    </row>
    <row r="87" spans="11:14" ht="15.75">
      <c r="K87" s="3"/>
      <c r="L87" s="3"/>
      <c r="M87" s="3"/>
      <c r="N87" s="3"/>
    </row>
    <row r="88" spans="11:14" ht="15.75">
      <c r="K88" s="3"/>
      <c r="L88" s="3"/>
      <c r="M88" s="3"/>
      <c r="N88" s="3"/>
    </row>
    <row r="89" spans="11:14" ht="15.75">
      <c r="K89" s="10"/>
      <c r="L89" s="3"/>
      <c r="M89" s="3"/>
      <c r="N89" s="3"/>
    </row>
    <row r="90" ht="15.75">
      <c r="K90" s="10"/>
    </row>
    <row r="91" ht="12.75" customHeight="1">
      <c r="K91" s="9"/>
    </row>
    <row r="92" spans="11:12" ht="18.75" customHeight="1">
      <c r="K92" s="11"/>
      <c r="L92" s="9"/>
    </row>
    <row r="93" spans="11:12" ht="12.75" customHeight="1">
      <c r="K93" s="3"/>
      <c r="L93" s="8"/>
    </row>
    <row r="94" spans="11:12" ht="12.75" customHeight="1">
      <c r="K94" s="3"/>
      <c r="L94" s="8"/>
    </row>
    <row r="95" spans="11:12" ht="12.75" customHeight="1">
      <c r="K95" s="3"/>
      <c r="L95" s="8"/>
    </row>
    <row r="96" ht="15.75">
      <c r="K96" s="3"/>
    </row>
    <row r="97" ht="15.75">
      <c r="K97" s="3"/>
    </row>
    <row r="98" ht="15.75">
      <c r="K98" s="3"/>
    </row>
    <row r="99" spans="11:12" ht="15.75">
      <c r="K99" s="3"/>
      <c r="L99" s="3"/>
    </row>
    <row r="100" spans="11:12" ht="15.75">
      <c r="K100" s="3"/>
      <c r="L100" s="3"/>
    </row>
    <row r="101" spans="11:12" ht="15.75">
      <c r="K101" s="3"/>
      <c r="L101" s="3"/>
    </row>
    <row r="102" spans="11:12" ht="15.75">
      <c r="K102" s="3"/>
      <c r="L102" s="3"/>
    </row>
    <row r="103" spans="11:12" ht="15.75">
      <c r="K103" s="3"/>
      <c r="L103" s="3"/>
    </row>
    <row r="104" ht="15.75">
      <c r="L104" s="3"/>
    </row>
    <row r="105" ht="15.75">
      <c r="L105" s="3"/>
    </row>
    <row r="106" ht="15.75">
      <c r="L106" s="3"/>
    </row>
    <row r="107" ht="15.75">
      <c r="L107" s="3"/>
    </row>
    <row r="108" ht="15.75">
      <c r="L108" s="3"/>
    </row>
    <row r="109" ht="15.75">
      <c r="L109" s="3"/>
    </row>
    <row r="110" ht="15.75">
      <c r="L110" s="3"/>
    </row>
    <row r="111" ht="15.75">
      <c r="L111" s="3"/>
    </row>
  </sheetData>
  <sheetProtection password="F7AF" sheet="1"/>
  <mergeCells count="68">
    <mergeCell ref="A51:J51"/>
    <mergeCell ref="C55:F55"/>
    <mergeCell ref="C59:F59"/>
    <mergeCell ref="G57:J57"/>
    <mergeCell ref="G59:J59"/>
    <mergeCell ref="G53:J53"/>
    <mergeCell ref="A53:B53"/>
    <mergeCell ref="C53:F53"/>
    <mergeCell ref="C57:F57"/>
    <mergeCell ref="C58:F58"/>
    <mergeCell ref="A32:J32"/>
    <mergeCell ref="A19:J19"/>
    <mergeCell ref="A59:B59"/>
    <mergeCell ref="A55:B55"/>
    <mergeCell ref="A56:B56"/>
    <mergeCell ref="C54:F54"/>
    <mergeCell ref="C56:F56"/>
    <mergeCell ref="A54:B54"/>
    <mergeCell ref="A57:B57"/>
    <mergeCell ref="A58:B58"/>
    <mergeCell ref="A14:J14"/>
    <mergeCell ref="A29:J29"/>
    <mergeCell ref="A13:J13"/>
    <mergeCell ref="A26:J26"/>
    <mergeCell ref="A20:J20"/>
    <mergeCell ref="A18:J18"/>
    <mergeCell ref="A15:J15"/>
    <mergeCell ref="A22:J22"/>
    <mergeCell ref="A11:J11"/>
    <mergeCell ref="A7:J7"/>
    <mergeCell ref="A5:J5"/>
    <mergeCell ref="A9:J9"/>
    <mergeCell ref="A38:J38"/>
    <mergeCell ref="A10:J10"/>
    <mergeCell ref="A36:J36"/>
    <mergeCell ref="A37:J37"/>
    <mergeCell ref="A28:J28"/>
    <mergeCell ref="A31:J31"/>
    <mergeCell ref="A25:J25"/>
    <mergeCell ref="A21:J21"/>
    <mergeCell ref="G58:J58"/>
    <mergeCell ref="G55:J55"/>
    <mergeCell ref="A39:J39"/>
    <mergeCell ref="A33:J33"/>
    <mergeCell ref="A35:J35"/>
    <mergeCell ref="A40:J40"/>
    <mergeCell ref="A48:J48"/>
    <mergeCell ref="A49:J49"/>
    <mergeCell ref="A43:J43"/>
    <mergeCell ref="A44:J44"/>
    <mergeCell ref="G56:J56"/>
    <mergeCell ref="A52:J52"/>
    <mergeCell ref="A30:J30"/>
    <mergeCell ref="A34:J34"/>
    <mergeCell ref="A45:J45"/>
    <mergeCell ref="A46:J46"/>
    <mergeCell ref="A42:J42"/>
    <mergeCell ref="A47:J47"/>
    <mergeCell ref="A6:J6"/>
    <mergeCell ref="G54:J54"/>
    <mergeCell ref="A8:J8"/>
    <mergeCell ref="A27:J27"/>
    <mergeCell ref="A24:J24"/>
    <mergeCell ref="A17:J17"/>
    <mergeCell ref="A16:J16"/>
    <mergeCell ref="A23:J23"/>
    <mergeCell ref="A41:J41"/>
    <mergeCell ref="A50:J50"/>
  </mergeCells>
  <hyperlinks>
    <hyperlink ref="A29:D29" location="MARATHON6!A1" tooltip="Cliquez sur cette zone pour aller dans le plan" display="Un plan sur 6 séances hebdomadaires;"/>
    <hyperlink ref="A31:D31" location="MARATHON4!A1" tooltip="Cliquez ici pour aller dans le plan" display="Un plan sur 4 séances hebdomadaires."/>
    <hyperlink ref="A30:D30" location="MARATHON5!A1" tooltip="Cliquez ici pour aller dans le plan" display="Un plan sur 5 séances hebdomadaires;"/>
    <hyperlink ref="A31:J31" location="'10 Km 3 ent.'!A1" tooltip="Cliquez ici pour aller dans le plan" display="Un plan sur 3 séances hebdomadaires"/>
    <hyperlink ref="A30:J30" location="'10 Km 4 ent.'!A1" tooltip="Cliquez ici pour aller dans le plan" display="Un plan sur 4 séances hebdomadaires"/>
    <hyperlink ref="A29:J29" location="'10 Km 5 ent.'!A1" tooltip="Cliquez sur cette zone pour aller dans le plan" display="Un plan sur 5 séances hebdomadaires"/>
    <hyperlink ref="A33:J33" location="VMA!A1" display="Le feuillet VMA permet de prévoir votre rythme pour les séances VMA.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7:F24"/>
  <sheetViews>
    <sheetView zoomScale="145" zoomScaleNormal="145" workbookViewId="0" topLeftCell="A1">
      <selection activeCell="G25" sqref="G25"/>
    </sheetView>
  </sheetViews>
  <sheetFormatPr defaultColWidth="11.421875" defaultRowHeight="12.75"/>
  <cols>
    <col min="1" max="1" width="56.140625" style="0" bestFit="1" customWidth="1"/>
    <col min="2" max="2" width="8.140625" style="0" bestFit="1" customWidth="1"/>
    <col min="3" max="3" width="3.7109375" style="0" bestFit="1" customWidth="1"/>
    <col min="4" max="4" width="39.140625" style="0" bestFit="1" customWidth="1"/>
    <col min="5" max="5" width="7.00390625" style="0" bestFit="1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6" ht="13.5" thickBot="1"/>
    <row r="7" spans="1:5" ht="13.5" thickBot="1">
      <c r="A7" s="344" t="s">
        <v>11</v>
      </c>
      <c r="B7" s="345"/>
      <c r="C7" s="345"/>
      <c r="D7" s="346"/>
      <c r="E7" s="347"/>
    </row>
    <row r="8" spans="1:5" ht="13.5" thickBot="1">
      <c r="A8" s="348" t="s">
        <v>68</v>
      </c>
      <c r="B8" s="349"/>
      <c r="C8" s="17" t="s">
        <v>69</v>
      </c>
      <c r="D8" s="350" t="s">
        <v>172</v>
      </c>
      <c r="E8" s="351"/>
    </row>
    <row r="9" spans="1:5" ht="12.75">
      <c r="A9" s="18" t="s">
        <v>256</v>
      </c>
      <c r="B9" s="202">
        <v>1500</v>
      </c>
      <c r="C9" s="352"/>
      <c r="D9" s="19" t="s">
        <v>181</v>
      </c>
      <c r="E9" s="20">
        <v>0.025694444444444447</v>
      </c>
    </row>
    <row r="10" spans="1:5" ht="12.75">
      <c r="A10" s="21" t="s">
        <v>73</v>
      </c>
      <c r="B10" s="22">
        <v>0.004861111111111111</v>
      </c>
      <c r="C10" s="353"/>
      <c r="D10" s="23" t="s">
        <v>182</v>
      </c>
      <c r="E10" s="24">
        <v>42133</v>
      </c>
    </row>
    <row r="11" spans="1:6" ht="13.5" thickBot="1">
      <c r="A11" s="25" t="s">
        <v>77</v>
      </c>
      <c r="B11" s="151" t="str">
        <f>TEXT(cat_test_3/K_test,"mm:ss")</f>
        <v>04:40</v>
      </c>
      <c r="C11" s="353"/>
      <c r="D11" s="355" t="s">
        <v>61</v>
      </c>
      <c r="E11" s="356"/>
      <c r="F11" s="2"/>
    </row>
    <row r="12" spans="1:5" ht="12.75">
      <c r="A12" s="25" t="s">
        <v>78</v>
      </c>
      <c r="B12" s="27">
        <f>(HOUR(cat_test_3)*3600+MINUTE(cat_test_3)*60+SECOND(cat_test_3))/K_test</f>
        <v>280</v>
      </c>
      <c r="C12" s="353"/>
      <c r="D12" s="26" t="str">
        <f>IF(D_test=2000,"CAT test 2000m pour objectif:","CAT test 1500m pour objectif:")</f>
        <v>CAT test 1500m pour objectif:</v>
      </c>
      <c r="E12" s="147" t="str">
        <f>TEXT(((objectif/(dist_marathon/K_test))*k_marat),"mm:ss")</f>
        <v>05:00</v>
      </c>
    </row>
    <row r="13" spans="1:5" ht="13.5" thickBot="1">
      <c r="A13" s="25" t="s">
        <v>16</v>
      </c>
      <c r="B13" s="28">
        <f>1000/cat_sec</f>
        <v>3.5714285714285716</v>
      </c>
      <c r="C13" s="353"/>
      <c r="D13" s="26" t="s">
        <v>62</v>
      </c>
      <c r="E13" s="77" t="str">
        <f>TEXT(((objectif/dist_marathon)*k_marat),"mm:ss")</f>
        <v>03:20</v>
      </c>
    </row>
    <row r="14" spans="1:5" ht="12.75">
      <c r="A14" s="25" t="s">
        <v>150</v>
      </c>
      <c r="B14" s="29">
        <f>1/cat_sec*3600</f>
        <v>12.857142857142856</v>
      </c>
      <c r="C14" s="353"/>
      <c r="D14" s="357" t="s">
        <v>276</v>
      </c>
      <c r="E14" s="358"/>
    </row>
    <row r="15" spans="1:6" ht="13.5" thickBot="1">
      <c r="A15" s="30" t="s">
        <v>92</v>
      </c>
      <c r="B15" s="31">
        <f>cat_kmh*ind_vma</f>
        <v>47.57142857142857</v>
      </c>
      <c r="C15" s="354"/>
      <c r="D15" s="359"/>
      <c r="E15" s="360"/>
      <c r="F15" s="6"/>
    </row>
    <row r="16" spans="1:5" ht="12.75">
      <c r="A16" s="342" t="s">
        <v>13</v>
      </c>
      <c r="B16" s="343"/>
      <c r="C16" s="145">
        <v>46</v>
      </c>
      <c r="D16" s="359"/>
      <c r="E16" s="360"/>
    </row>
    <row r="17" spans="1:5" ht="13.5" thickBot="1">
      <c r="A17" s="340" t="s">
        <v>12</v>
      </c>
      <c r="B17" s="341"/>
      <c r="C17" s="146">
        <v>186</v>
      </c>
      <c r="D17" s="361"/>
      <c r="E17" s="362"/>
    </row>
    <row r="18" spans="1:5" ht="23.25" thickBot="1">
      <c r="A18" s="18" t="s">
        <v>98</v>
      </c>
      <c r="B18" s="32">
        <v>200</v>
      </c>
      <c r="C18" s="176">
        <f>fc_x</f>
        <v>183.2</v>
      </c>
      <c r="D18" s="175" t="s">
        <v>183</v>
      </c>
      <c r="E18" s="197" t="str">
        <f>TEXT(objectif/dist_marathon,"mm:ss")</f>
        <v>03:42</v>
      </c>
    </row>
    <row r="19" spans="1:3" ht="12.75">
      <c r="A19" s="33" t="s">
        <v>101</v>
      </c>
      <c r="B19" s="34" t="str">
        <f>TEXT(INT(B21/60),"00")&amp;":"&amp;TEXT(B21-(INT(B21/60)*60),"00")</f>
        <v>00:55</v>
      </c>
      <c r="C19" s="27">
        <f>fc_x</f>
        <v>183.2</v>
      </c>
    </row>
    <row r="20" spans="1:3" ht="12.75">
      <c r="A20" s="33" t="s">
        <v>85</v>
      </c>
      <c r="B20" s="35">
        <f>B18/B21*3.6</f>
        <v>13.073142857142859</v>
      </c>
      <c r="C20" s="27">
        <f>fc_x</f>
        <v>183.2</v>
      </c>
    </row>
    <row r="21" spans="1:3" ht="12.75">
      <c r="A21" s="33" t="s">
        <v>104</v>
      </c>
      <c r="B21" s="36">
        <f>dist_vma/(B13+(0.075*((1000-dist_vma)/1000)))</f>
        <v>55.07474429583005</v>
      </c>
      <c r="C21" s="27">
        <f>fc_x</f>
        <v>183.2</v>
      </c>
    </row>
    <row r="22" spans="1:3" ht="12.75">
      <c r="A22" s="33" t="s">
        <v>111</v>
      </c>
      <c r="B22" s="34">
        <f>cat_test_3/K_test/k_recup</f>
        <v>0.004629629629629629</v>
      </c>
      <c r="C22" s="27">
        <f>fc_repos+(z_travail*k_vma*k_recup)</f>
        <v>134.2</v>
      </c>
    </row>
    <row r="23" spans="1:3" ht="12.75">
      <c r="A23" s="33" t="s">
        <v>184</v>
      </c>
      <c r="B23" s="34">
        <f>cat_test_3/K_test/k_marat</f>
        <v>0.0036008230452674894</v>
      </c>
      <c r="C23" s="27">
        <f>(z_travail*85%)+fc_repos</f>
        <v>165</v>
      </c>
    </row>
    <row r="24" spans="1:3" ht="13.5" thickBot="1">
      <c r="A24" s="174" t="s">
        <v>185</v>
      </c>
      <c r="B24" s="37">
        <f>cat_test_3/K_test/k_marat*dist_marathon</f>
        <v>0.03600823045267489</v>
      </c>
      <c r="C24" s="198">
        <f>(z_travail*85%)+fc_repos</f>
        <v>165</v>
      </c>
    </row>
    <row r="33" ht="19.5" customHeight="1"/>
  </sheetData>
  <sheetProtection password="F7AF" sheet="1"/>
  <mergeCells count="8">
    <mergeCell ref="A17:B17"/>
    <mergeCell ref="A16:B16"/>
    <mergeCell ref="A7:E7"/>
    <mergeCell ref="A8:B8"/>
    <mergeCell ref="D8:E8"/>
    <mergeCell ref="C9:C15"/>
    <mergeCell ref="D11:E11"/>
    <mergeCell ref="D14:E17"/>
  </mergeCells>
  <dataValidations count="1">
    <dataValidation type="list" allowBlank="1" showInputMessage="1" showErrorMessage="1" sqref="B9">
      <formula1>"1500, 2000"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3"/>
  <sheetViews>
    <sheetView zoomScale="75" zoomScaleNormal="75" workbookViewId="0" topLeftCell="A19">
      <selection activeCell="N30" sqref="N30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4.0039062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3.710937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3.7109375" style="15" bestFit="1" customWidth="1"/>
    <col min="13" max="13" width="6.7109375" style="0" customWidth="1"/>
    <col min="14" max="14" width="16.421875" style="14" customWidth="1"/>
    <col min="15" max="15" width="7.7109375" style="0" customWidth="1"/>
    <col min="16" max="16" width="3.7109375" style="15" bestFit="1" customWidth="1"/>
  </cols>
  <sheetData>
    <row r="3" ht="33.75" customHeight="1" thickBot="1"/>
    <row r="4" spans="1:16" ht="33.75" customHeight="1" thickBot="1">
      <c r="A4" s="91"/>
      <c r="B4" s="363" t="s">
        <v>63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92"/>
      <c r="P4" s="93"/>
    </row>
    <row r="5" spans="1:16" ht="33.75" customHeight="1" thickBot="1">
      <c r="A5" s="67"/>
      <c r="B5" s="68" t="str">
        <f>"semaine du "&amp;TEXT(mdate-83,"jj/mm")&amp;" au "&amp;TEXT(mdate-77,"jj/mm")</f>
        <v>semaine du 15/02 au 21/02</v>
      </c>
      <c r="C5" s="68" t="s">
        <v>126</v>
      </c>
      <c r="D5" s="69" t="s">
        <v>59</v>
      </c>
      <c r="E5" s="67"/>
      <c r="F5" s="68" t="str">
        <f>"semaine du "&amp;TEXT(mdate-76,"jj/mm")&amp;" au "&amp;TEXT(mdate-70,"jj/mm")</f>
        <v>semaine du 22/02 au 28/02</v>
      </c>
      <c r="G5" s="70" t="s">
        <v>126</v>
      </c>
      <c r="H5" s="69" t="s">
        <v>59</v>
      </c>
      <c r="I5" s="67"/>
      <c r="J5" s="68" t="str">
        <f>"semaine du "&amp;TEXT(mdate-69,"jj/mm")&amp;" au "&amp;TEXT(mdate-63,"jj/mm")</f>
        <v>semaine du 01/03 au 07/03</v>
      </c>
      <c r="K5" s="68" t="s">
        <v>126</v>
      </c>
      <c r="L5" s="69" t="s">
        <v>59</v>
      </c>
      <c r="M5" s="67"/>
      <c r="N5" s="68" t="str">
        <f>"semaine du "&amp;TEXT(mdate-62,"jj/mm")&amp;" au "&amp;TEXT(mdate-56,"jj/mm")</f>
        <v>semaine du 08/03 au 14/03</v>
      </c>
      <c r="O5" s="68" t="s">
        <v>126</v>
      </c>
      <c r="P5" s="69" t="s">
        <v>59</v>
      </c>
    </row>
    <row r="6" spans="1:16" ht="33.75" customHeight="1">
      <c r="A6" s="98" t="s">
        <v>157</v>
      </c>
      <c r="B6" s="100" t="s">
        <v>60</v>
      </c>
      <c r="C6" s="99"/>
      <c r="D6" s="101"/>
      <c r="E6" s="98" t="s">
        <v>157</v>
      </c>
      <c r="F6" s="100" t="s">
        <v>60</v>
      </c>
      <c r="G6" s="99"/>
      <c r="H6" s="101"/>
      <c r="I6" s="98" t="s">
        <v>157</v>
      </c>
      <c r="J6" s="100" t="s">
        <v>60</v>
      </c>
      <c r="K6" s="99"/>
      <c r="L6" s="101"/>
      <c r="M6" s="98" t="s">
        <v>157</v>
      </c>
      <c r="N6" s="100" t="s">
        <v>60</v>
      </c>
      <c r="O6" s="99"/>
      <c r="P6" s="101"/>
    </row>
    <row r="7" spans="1:16" ht="33.75" customHeight="1">
      <c r="A7" s="89" t="s">
        <v>156</v>
      </c>
      <c r="B7" s="214" t="s">
        <v>125</v>
      </c>
      <c r="C7" s="194">
        <f>cat_km*133.5%</f>
        <v>0.25958333333333333</v>
      </c>
      <c r="D7" s="72">
        <f>(z_travail*75%)+fc_repos</f>
        <v>151</v>
      </c>
      <c r="E7" s="89" t="s">
        <v>156</v>
      </c>
      <c r="F7" s="213" t="s">
        <v>125</v>
      </c>
      <c r="G7" s="194">
        <f>cat_km*133.5%</f>
        <v>0.25958333333333333</v>
      </c>
      <c r="H7" s="72">
        <f>(z_travail*75%)+fc_repos</f>
        <v>151</v>
      </c>
      <c r="I7" s="89" t="s">
        <v>156</v>
      </c>
      <c r="J7" s="213" t="s">
        <v>197</v>
      </c>
      <c r="K7" s="194">
        <f>cat_km*133.5%</f>
        <v>0.25958333333333333</v>
      </c>
      <c r="L7" s="72">
        <f>(z_travail*75%)+fc_repos</f>
        <v>151</v>
      </c>
      <c r="M7" s="89" t="s">
        <v>156</v>
      </c>
      <c r="N7" s="213" t="s">
        <v>197</v>
      </c>
      <c r="O7" s="194">
        <f>cat_km*133.5%</f>
        <v>0.25958333333333333</v>
      </c>
      <c r="P7" s="72">
        <f>(z_travail*75%)+fc_repos</f>
        <v>151</v>
      </c>
    </row>
    <row r="8" spans="1:16" ht="33.75" customHeight="1">
      <c r="A8" s="89" t="s">
        <v>151</v>
      </c>
      <c r="B8" s="205" t="s">
        <v>163</v>
      </c>
      <c r="C8" s="194" t="str">
        <f>al_marathon</f>
        <v>03:42</v>
      </c>
      <c r="D8" s="72">
        <f>Puls</f>
        <v>165</v>
      </c>
      <c r="E8" s="89" t="s">
        <v>151</v>
      </c>
      <c r="F8" s="96" t="s">
        <v>192</v>
      </c>
      <c r="G8" s="97">
        <f>cat_vitesse*30</f>
        <v>107.14285714285715</v>
      </c>
      <c r="H8" s="72">
        <f>fc_x</f>
        <v>183.2</v>
      </c>
      <c r="I8" s="89" t="s">
        <v>151</v>
      </c>
      <c r="J8" s="203" t="s">
        <v>250</v>
      </c>
      <c r="K8" s="194">
        <f>((cat_km*95%)/1000)*300</f>
        <v>0.05541666666666666</v>
      </c>
      <c r="L8" s="72">
        <f>fc_300</f>
        <v>181.79999999999998</v>
      </c>
      <c r="M8" s="89" t="s">
        <v>151</v>
      </c>
      <c r="N8" s="96" t="s">
        <v>193</v>
      </c>
      <c r="O8" s="170">
        <f>cat_vitesse*20</f>
        <v>71.42857142857143</v>
      </c>
      <c r="P8" s="72">
        <f>fc_x</f>
        <v>183.2</v>
      </c>
    </row>
    <row r="9" spans="1:16" ht="33.75" customHeight="1">
      <c r="A9" s="89" t="s">
        <v>155</v>
      </c>
      <c r="B9" s="213" t="s">
        <v>125</v>
      </c>
      <c r="C9" s="194">
        <f>cat_km*133.5%</f>
        <v>0.25958333333333333</v>
      </c>
      <c r="D9" s="72">
        <f>(z_travail*75%)+fc_repos</f>
        <v>151</v>
      </c>
      <c r="E9" s="89" t="s">
        <v>155</v>
      </c>
      <c r="F9" s="213" t="s">
        <v>245</v>
      </c>
      <c r="G9" s="194">
        <f>cat_km*133.5%</f>
        <v>0.25958333333333333</v>
      </c>
      <c r="H9" s="72">
        <f>(z_travail*75%)+fc_repos</f>
        <v>151</v>
      </c>
      <c r="I9" s="89" t="s">
        <v>155</v>
      </c>
      <c r="J9" s="213" t="s">
        <v>197</v>
      </c>
      <c r="K9" s="194">
        <f>cat_km*133.5%</f>
        <v>0.25958333333333333</v>
      </c>
      <c r="L9" s="72">
        <f>(z_travail*75%)+fc_repos</f>
        <v>151</v>
      </c>
      <c r="M9" s="89" t="s">
        <v>155</v>
      </c>
      <c r="N9" s="213" t="s">
        <v>197</v>
      </c>
      <c r="O9" s="194">
        <f>cat_km*133.5%</f>
        <v>0.25958333333333333</v>
      </c>
      <c r="P9" s="72">
        <f>(z_travail*75%)+fc_repos</f>
        <v>151</v>
      </c>
    </row>
    <row r="10" spans="1:16" ht="33.75" customHeight="1">
      <c r="A10" s="89" t="s">
        <v>152</v>
      </c>
      <c r="B10" s="95" t="s">
        <v>60</v>
      </c>
      <c r="C10" s="75"/>
      <c r="D10" s="72"/>
      <c r="E10" s="89" t="s">
        <v>152</v>
      </c>
      <c r="F10" s="95" t="s">
        <v>60</v>
      </c>
      <c r="G10" s="75"/>
      <c r="H10" s="72"/>
      <c r="I10" s="89" t="s">
        <v>152</v>
      </c>
      <c r="J10" s="95" t="s">
        <v>60</v>
      </c>
      <c r="K10" s="75"/>
      <c r="L10" s="72"/>
      <c r="M10" s="89" t="s">
        <v>152</v>
      </c>
      <c r="N10" s="95" t="s">
        <v>60</v>
      </c>
      <c r="O10" s="75"/>
      <c r="P10" s="72"/>
    </row>
    <row r="11" spans="1:16" ht="33.75" customHeight="1">
      <c r="A11" s="89" t="s">
        <v>153</v>
      </c>
      <c r="B11" s="203" t="s">
        <v>251</v>
      </c>
      <c r="C11" s="194">
        <f>((cat_km*83%)/1000)*150</f>
        <v>0.024208333333333335</v>
      </c>
      <c r="D11" s="72">
        <f>fc_150</f>
        <v>183.9</v>
      </c>
      <c r="E11" s="89" t="s">
        <v>153</v>
      </c>
      <c r="F11" s="206" t="s">
        <v>234</v>
      </c>
      <c r="G11" s="75" t="str">
        <f>al_marathon</f>
        <v>03:42</v>
      </c>
      <c r="H11" s="72">
        <f>Puls</f>
        <v>165</v>
      </c>
      <c r="I11" s="89" t="s">
        <v>153</v>
      </c>
      <c r="J11" s="206" t="s">
        <v>235</v>
      </c>
      <c r="K11" s="75" t="str">
        <f>al_marathon</f>
        <v>03:42</v>
      </c>
      <c r="L11" s="72">
        <f>Puls</f>
        <v>165</v>
      </c>
      <c r="M11" s="89" t="s">
        <v>153</v>
      </c>
      <c r="N11" s="206" t="s">
        <v>236</v>
      </c>
      <c r="O11" s="75" t="str">
        <f>al_marathon</f>
        <v>03:42</v>
      </c>
      <c r="P11" s="72">
        <f>Puls</f>
        <v>165</v>
      </c>
    </row>
    <row r="12" spans="1:16" ht="33.75" customHeight="1" thickBot="1">
      <c r="A12" s="90" t="s">
        <v>154</v>
      </c>
      <c r="B12" s="215" t="s">
        <v>203</v>
      </c>
      <c r="C12" s="193">
        <f>cat_km*143%</f>
        <v>0.27805555555555556</v>
      </c>
      <c r="D12" s="73">
        <f>(z_travail*70%)+fc_repos</f>
        <v>144</v>
      </c>
      <c r="E12" s="90" t="s">
        <v>154</v>
      </c>
      <c r="F12" s="215" t="s">
        <v>204</v>
      </c>
      <c r="G12" s="193">
        <f>cat_km*143%</f>
        <v>0.27805555555555556</v>
      </c>
      <c r="H12" s="73">
        <f>(z_travail*70%)+fc_repos</f>
        <v>144</v>
      </c>
      <c r="I12" s="90" t="s">
        <v>154</v>
      </c>
      <c r="J12" s="215" t="s">
        <v>243</v>
      </c>
      <c r="K12" s="193">
        <f>cat_km*143%</f>
        <v>0.27805555555555556</v>
      </c>
      <c r="L12" s="73">
        <f>(z_travail*70%)+fc_repos</f>
        <v>144</v>
      </c>
      <c r="M12" s="90" t="s">
        <v>154</v>
      </c>
      <c r="N12" s="215" t="s">
        <v>244</v>
      </c>
      <c r="O12" s="193">
        <f>cat_km*143%</f>
        <v>0.27805555555555556</v>
      </c>
      <c r="P12" s="73">
        <f>(z_travail*70%)+fc_repos</f>
        <v>144</v>
      </c>
    </row>
    <row r="13" spans="1:2" ht="33.75" customHeight="1">
      <c r="A13" s="237" t="s">
        <v>290</v>
      </c>
      <c r="B13" s="236" t="s">
        <v>291</v>
      </c>
    </row>
    <row r="18" ht="33.75" customHeight="1" thickBot="1"/>
    <row r="19" spans="1:16" ht="33.75" customHeight="1" thickBot="1">
      <c r="A19" s="91"/>
      <c r="B19" s="363" t="s">
        <v>64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92"/>
      <c r="P19" s="93"/>
    </row>
    <row r="20" spans="1:16" ht="33.75" customHeight="1" thickBot="1">
      <c r="A20" s="67"/>
      <c r="B20" s="38" t="str">
        <f>"semaine du "&amp;TEXT(mdate-55,"jj/mm")&amp;" au "&amp;TEXT(mdate-49,"jj/mm")</f>
        <v>semaine du 15/03 au 21/03</v>
      </c>
      <c r="C20" s="40" t="s">
        <v>126</v>
      </c>
      <c r="D20" s="39" t="s">
        <v>59</v>
      </c>
      <c r="E20" s="67"/>
      <c r="F20" s="38" t="str">
        <f>"semaine du "&amp;TEXT(mdate-48,"jj/mm")&amp;" au "&amp;TEXT(mdate-42,"jj/mm")</f>
        <v>semaine du 22/03 au 28/03</v>
      </c>
      <c r="G20" s="40" t="s">
        <v>126</v>
      </c>
      <c r="H20" s="39" t="s">
        <v>59</v>
      </c>
      <c r="I20" s="153"/>
      <c r="J20" s="154" t="str">
        <f>"semaine du "&amp;TEXT(mdate-41,"jj/mm")&amp;" au "&amp;TEXT(mdate-35,"jj/mm")</f>
        <v>semaine du 29/03 au 04/04</v>
      </c>
      <c r="K20" s="152" t="s">
        <v>126</v>
      </c>
      <c r="L20" s="155" t="s">
        <v>59</v>
      </c>
      <c r="M20" s="67"/>
      <c r="N20" s="38" t="str">
        <f>"semaine du "&amp;TEXT(mdate-34,"jj/mm")&amp;" au "&amp;TEXT(mdate-28,"jj/mm")</f>
        <v>semaine du 05/04 au 11/04</v>
      </c>
      <c r="O20" s="41" t="s">
        <v>126</v>
      </c>
      <c r="P20" s="39" t="s">
        <v>59</v>
      </c>
    </row>
    <row r="21" spans="1:16" ht="33.75" customHeight="1">
      <c r="A21" s="98" t="s">
        <v>157</v>
      </c>
      <c r="B21" s="100" t="s">
        <v>60</v>
      </c>
      <c r="C21" s="99"/>
      <c r="D21" s="101"/>
      <c r="E21" s="98" t="s">
        <v>157</v>
      </c>
      <c r="F21" s="100" t="s">
        <v>60</v>
      </c>
      <c r="G21" s="99"/>
      <c r="H21" s="162"/>
      <c r="I21" s="98" t="s">
        <v>157</v>
      </c>
      <c r="J21" s="161" t="s">
        <v>60</v>
      </c>
      <c r="K21" s="99"/>
      <c r="L21" s="101"/>
      <c r="M21" s="102" t="s">
        <v>157</v>
      </c>
      <c r="N21" s="100" t="s">
        <v>60</v>
      </c>
      <c r="O21" s="99"/>
      <c r="P21" s="101"/>
    </row>
    <row r="22" spans="1:16" ht="33.75" customHeight="1">
      <c r="A22" s="89" t="s">
        <v>156</v>
      </c>
      <c r="B22" s="213" t="s">
        <v>197</v>
      </c>
      <c r="C22" s="194">
        <f>cat_km*133.5%</f>
        <v>0.25958333333333333</v>
      </c>
      <c r="D22" s="72">
        <f>(z_travail*75%)+fc_repos</f>
        <v>151</v>
      </c>
      <c r="E22" s="89" t="s">
        <v>156</v>
      </c>
      <c r="F22" s="213" t="s">
        <v>19</v>
      </c>
      <c r="G22" s="194">
        <f>cat_km*133.5%</f>
        <v>0.25958333333333333</v>
      </c>
      <c r="H22" s="72">
        <f>(z_travail*75%)+fc_repos</f>
        <v>151</v>
      </c>
      <c r="I22" s="89" t="s">
        <v>156</v>
      </c>
      <c r="J22" s="204" t="s">
        <v>247</v>
      </c>
      <c r="K22" s="194">
        <f>((cat_km)/1000)*500</f>
        <v>0.09722222222222222</v>
      </c>
      <c r="L22" s="72">
        <f>fc_500</f>
        <v>179</v>
      </c>
      <c r="M22" s="103" t="s">
        <v>156</v>
      </c>
      <c r="N22" s="213" t="s">
        <v>19</v>
      </c>
      <c r="O22" s="194">
        <f>cat_km*133.5%</f>
        <v>0.25958333333333333</v>
      </c>
      <c r="P22" s="72">
        <f>(z_travail*75%)+fc_repos</f>
        <v>151</v>
      </c>
    </row>
    <row r="23" spans="1:16" ht="33.75" customHeight="1">
      <c r="A23" s="89" t="s">
        <v>151</v>
      </c>
      <c r="B23" s="206" t="s">
        <v>224</v>
      </c>
      <c r="C23" s="75" t="str">
        <f>al_marathon</f>
        <v>03:42</v>
      </c>
      <c r="D23" s="72">
        <f>Puls</f>
        <v>165</v>
      </c>
      <c r="E23" s="89" t="s">
        <v>151</v>
      </c>
      <c r="F23" s="203" t="s">
        <v>248</v>
      </c>
      <c r="G23" s="194">
        <f>((cat_km*83%)/1000)*200</f>
        <v>0.03227777777777778</v>
      </c>
      <c r="H23" s="163">
        <f>fc_200</f>
        <v>183.2</v>
      </c>
      <c r="I23" s="89" t="s">
        <v>151</v>
      </c>
      <c r="J23" s="160" t="s">
        <v>197</v>
      </c>
      <c r="K23" s="194">
        <f>cat_km*133.5%</f>
        <v>0.25958333333333333</v>
      </c>
      <c r="L23" s="72">
        <f>(z_travail*75%)+fc_repos</f>
        <v>151</v>
      </c>
      <c r="M23" s="103" t="s">
        <v>151</v>
      </c>
      <c r="N23" s="96" t="s">
        <v>206</v>
      </c>
      <c r="O23" s="97">
        <f>cat_vitesse*20</f>
        <v>71.42857142857143</v>
      </c>
      <c r="P23" s="72">
        <f>fc_x</f>
        <v>183.2</v>
      </c>
    </row>
    <row r="24" spans="1:16" ht="33.75" customHeight="1">
      <c r="A24" s="89" t="s">
        <v>155</v>
      </c>
      <c r="B24" s="213" t="s">
        <v>19</v>
      </c>
      <c r="C24" s="194">
        <f>cat_km*133.5%</f>
        <v>0.25958333333333333</v>
      </c>
      <c r="D24" s="72">
        <f>(z_travail*75%)+fc_repos</f>
        <v>151</v>
      </c>
      <c r="E24" s="89" t="s">
        <v>155</v>
      </c>
      <c r="F24" s="213" t="s">
        <v>19</v>
      </c>
      <c r="G24" s="194">
        <f>cat_km*133.5%</f>
        <v>0.25958333333333333</v>
      </c>
      <c r="H24" s="72">
        <f>(z_travail*75%)+fc_repos</f>
        <v>151</v>
      </c>
      <c r="I24" s="89" t="s">
        <v>155</v>
      </c>
      <c r="J24" s="159" t="s">
        <v>242</v>
      </c>
      <c r="K24" s="194">
        <f>(cat_km)*143%</f>
        <v>0.27805555555555556</v>
      </c>
      <c r="L24" s="72">
        <f>(z_travail*70%)+fc_repos</f>
        <v>144</v>
      </c>
      <c r="M24" s="103" t="s">
        <v>155</v>
      </c>
      <c r="N24" s="213" t="s">
        <v>19</v>
      </c>
      <c r="O24" s="194">
        <f>cat_km*133.5%</f>
        <v>0.25958333333333333</v>
      </c>
      <c r="P24" s="72">
        <f>(z_travail*75%)+fc_repos</f>
        <v>151</v>
      </c>
    </row>
    <row r="25" spans="1:16" ht="33.75" customHeight="1">
      <c r="A25" s="89" t="s">
        <v>152</v>
      </c>
      <c r="B25" s="95" t="s">
        <v>60</v>
      </c>
      <c r="C25" s="74"/>
      <c r="D25" s="71"/>
      <c r="E25" s="89" t="s">
        <v>152</v>
      </c>
      <c r="F25" s="95" t="s">
        <v>60</v>
      </c>
      <c r="G25" s="75"/>
      <c r="H25" s="163"/>
      <c r="I25" s="89" t="s">
        <v>152</v>
      </c>
      <c r="J25" s="158" t="s">
        <v>60</v>
      </c>
      <c r="K25" s="75"/>
      <c r="L25" s="72"/>
      <c r="M25" s="103" t="s">
        <v>152</v>
      </c>
      <c r="N25" s="95" t="s">
        <v>60</v>
      </c>
      <c r="O25" s="74"/>
      <c r="P25" s="71"/>
    </row>
    <row r="26" spans="1:16" ht="33.75" customHeight="1" thickBot="1">
      <c r="A26" s="89" t="s">
        <v>153</v>
      </c>
      <c r="B26" s="206" t="s">
        <v>217</v>
      </c>
      <c r="C26" s="75" t="str">
        <f>al_marathon</f>
        <v>03:42</v>
      </c>
      <c r="D26" s="72">
        <f>Puls</f>
        <v>165</v>
      </c>
      <c r="E26" s="89" t="s">
        <v>153</v>
      </c>
      <c r="F26" s="206" t="s">
        <v>222</v>
      </c>
      <c r="G26" s="75" t="str">
        <f>al_marathon</f>
        <v>03:42</v>
      </c>
      <c r="H26" s="163">
        <f>Puls</f>
        <v>165</v>
      </c>
      <c r="I26" s="165" t="s">
        <v>153</v>
      </c>
      <c r="J26" s="207" t="s">
        <v>199</v>
      </c>
      <c r="K26" s="194">
        <f>(cat_km)*143%</f>
        <v>0.27805555555555556</v>
      </c>
      <c r="L26" s="72">
        <f>(z_travail*70%)+fc_repos</f>
        <v>144</v>
      </c>
      <c r="M26" s="103" t="s">
        <v>153</v>
      </c>
      <c r="N26" s="206" t="s">
        <v>223</v>
      </c>
      <c r="O26" s="75" t="str">
        <f>al_marathon</f>
        <v>03:42</v>
      </c>
      <c r="P26" s="72">
        <f>Puls</f>
        <v>165</v>
      </c>
    </row>
    <row r="27" spans="1:16" ht="33.75" customHeight="1" thickBot="1">
      <c r="A27" s="90" t="s">
        <v>154</v>
      </c>
      <c r="B27" s="215" t="s">
        <v>241</v>
      </c>
      <c r="C27" s="193">
        <f>cat_km*143%</f>
        <v>0.27805555555555556</v>
      </c>
      <c r="D27" s="73">
        <f>(z_travail*70%)+fc_repos</f>
        <v>144</v>
      </c>
      <c r="E27" s="90" t="s">
        <v>154</v>
      </c>
      <c r="F27" s="215" t="s">
        <v>240</v>
      </c>
      <c r="G27" s="193">
        <f>cat_km*143%</f>
        <v>0.27805555555555556</v>
      </c>
      <c r="H27" s="73">
        <f>(z_travail*70%)+fc_repos</f>
        <v>144</v>
      </c>
      <c r="I27" s="166" t="s">
        <v>154</v>
      </c>
      <c r="J27" s="173" t="s">
        <v>187</v>
      </c>
      <c r="K27" s="168" t="str">
        <f>al_marathon</f>
        <v>03:42</v>
      </c>
      <c r="L27" s="190">
        <f>Puls</f>
        <v>165</v>
      </c>
      <c r="M27" s="104" t="s">
        <v>154</v>
      </c>
      <c r="N27" s="215" t="s">
        <v>237</v>
      </c>
      <c r="O27" s="193">
        <f>cat_km*143%</f>
        <v>0.27805555555555556</v>
      </c>
      <c r="P27" s="73">
        <f>(z_travail*70%)+fc_repos</f>
        <v>144</v>
      </c>
    </row>
    <row r="33" ht="33.75" customHeight="1" thickBot="1"/>
    <row r="34" spans="1:16" ht="33.75" customHeight="1" thickBot="1">
      <c r="A34" s="91"/>
      <c r="B34" s="363" t="s">
        <v>158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92"/>
      <c r="P34" s="93"/>
    </row>
    <row r="35" spans="1:16" ht="33.75" customHeight="1" thickBot="1">
      <c r="A35" s="156"/>
      <c r="B35" s="154" t="str">
        <f>"semaine du "&amp;TEXT(mdate-27,"jj/mm")&amp;" au "&amp;TEXT(mdate-21,"jj/mm")</f>
        <v>semaine du 12/04 au 18/04</v>
      </c>
      <c r="C35" s="157" t="s">
        <v>289</v>
      </c>
      <c r="D35" s="155" t="s">
        <v>59</v>
      </c>
      <c r="E35" s="156"/>
      <c r="F35" s="154" t="str">
        <f>"semaine du "&amp;TEXT(mdate-20,"jj/mm")&amp;" au "&amp;TEXT(mdate-14,"jj/mm")</f>
        <v>semaine du 19/04 au 25/04</v>
      </c>
      <c r="G35" s="157" t="s">
        <v>126</v>
      </c>
      <c r="H35" s="155" t="s">
        <v>59</v>
      </c>
      <c r="I35" s="156"/>
      <c r="J35" s="154" t="str">
        <f>"semaine du "&amp;TEXT(mdate-13,"jj/mm")&amp;" au "&amp;TEXT(mdate-7,"jj/mm")</f>
        <v>semaine du 26/04 au 02/05</v>
      </c>
      <c r="K35" s="152" t="s">
        <v>126</v>
      </c>
      <c r="L35" s="155" t="s">
        <v>59</v>
      </c>
      <c r="M35" s="156"/>
      <c r="N35" s="154" t="str">
        <f>"semaine du "&amp;TEXT(mdate-6,"jj/mm")&amp;" au "&amp;TEXT(mdate,"jj/mm")</f>
        <v>semaine du 03/05 au 09/05</v>
      </c>
      <c r="O35" s="152" t="s">
        <v>126</v>
      </c>
      <c r="P35" s="155" t="s">
        <v>59</v>
      </c>
    </row>
    <row r="36" spans="1:16" ht="33.75" customHeight="1">
      <c r="A36" s="98" t="s">
        <v>157</v>
      </c>
      <c r="B36" s="161" t="s">
        <v>60</v>
      </c>
      <c r="C36" s="99"/>
      <c r="D36" s="101"/>
      <c r="E36" s="102" t="s">
        <v>157</v>
      </c>
      <c r="F36" s="161" t="s">
        <v>60</v>
      </c>
      <c r="G36" s="99"/>
      <c r="H36" s="162"/>
      <c r="I36" s="98" t="s">
        <v>157</v>
      </c>
      <c r="J36" s="161" t="s">
        <v>60</v>
      </c>
      <c r="K36" s="99"/>
      <c r="L36" s="101"/>
      <c r="M36" s="102" t="s">
        <v>157</v>
      </c>
      <c r="N36" s="161" t="s">
        <v>60</v>
      </c>
      <c r="O36" s="99"/>
      <c r="P36" s="101"/>
    </row>
    <row r="37" spans="1:16" ht="33.75" customHeight="1">
      <c r="A37" s="89" t="s">
        <v>156</v>
      </c>
      <c r="B37" s="217" t="s">
        <v>239</v>
      </c>
      <c r="C37" s="194">
        <f>(cat_km)*143%</f>
        <v>0.27805555555555556</v>
      </c>
      <c r="D37" s="72">
        <f>(z_travail*70%)+fc_repos</f>
        <v>144</v>
      </c>
      <c r="E37" s="103" t="s">
        <v>156</v>
      </c>
      <c r="F37" s="212" t="s">
        <v>19</v>
      </c>
      <c r="G37" s="194">
        <f>cat_km*133.5%</f>
        <v>0.25958333333333333</v>
      </c>
      <c r="H37" s="72">
        <f>(z_travail*75%)+fc_repos</f>
        <v>151</v>
      </c>
      <c r="I37" s="89" t="s">
        <v>156</v>
      </c>
      <c r="J37" s="208" t="s">
        <v>252</v>
      </c>
      <c r="K37" s="75" t="str">
        <f>al_marathon</f>
        <v>03:42</v>
      </c>
      <c r="L37" s="72">
        <f>Puls</f>
        <v>165</v>
      </c>
      <c r="M37" s="103" t="s">
        <v>156</v>
      </c>
      <c r="N37" s="159" t="s">
        <v>239</v>
      </c>
      <c r="O37" s="194">
        <f>(cat_km)*143%</f>
        <v>0.27805555555555556</v>
      </c>
      <c r="P37" s="72">
        <f>(z_travail*70%)+fc_repos</f>
        <v>144</v>
      </c>
    </row>
    <row r="38" spans="1:16" ht="33.75" customHeight="1">
      <c r="A38" s="89" t="s">
        <v>151</v>
      </c>
      <c r="B38" s="208" t="s">
        <v>220</v>
      </c>
      <c r="C38" s="75" t="str">
        <f>al_marathon</f>
        <v>03:42</v>
      </c>
      <c r="D38" s="72">
        <f>Puls</f>
        <v>165</v>
      </c>
      <c r="E38" s="103" t="s">
        <v>151</v>
      </c>
      <c r="F38" s="204" t="s">
        <v>246</v>
      </c>
      <c r="G38" s="194">
        <f>((cat_km*105%))</f>
        <v>0.2041666666666667</v>
      </c>
      <c r="H38" s="163">
        <f>fc_1000</f>
        <v>172</v>
      </c>
      <c r="I38" s="89" t="s">
        <v>151</v>
      </c>
      <c r="J38" s="182" t="s">
        <v>189</v>
      </c>
      <c r="K38" s="97">
        <f>cat_vitesse*60</f>
        <v>214.2857142857143</v>
      </c>
      <c r="L38" s="72">
        <f>fc_x</f>
        <v>183.2</v>
      </c>
      <c r="M38" s="103" t="s">
        <v>151</v>
      </c>
      <c r="N38" s="204" t="s">
        <v>249</v>
      </c>
      <c r="O38" s="194">
        <f>((cat_km*97%)/1000)*400</f>
        <v>0.07544444444444445</v>
      </c>
      <c r="P38" s="72">
        <f>fc_400</f>
        <v>180.4</v>
      </c>
    </row>
    <row r="39" spans="1:16" ht="33.75" customHeight="1">
      <c r="A39" s="89" t="s">
        <v>155</v>
      </c>
      <c r="B39" s="212" t="s">
        <v>19</v>
      </c>
      <c r="C39" s="194">
        <f>cat_km*133.5%</f>
        <v>0.25958333333333333</v>
      </c>
      <c r="D39" s="72">
        <f>(z_travail*75%)+fc_repos</f>
        <v>151</v>
      </c>
      <c r="E39" s="103" t="s">
        <v>155</v>
      </c>
      <c r="F39" s="212" t="s">
        <v>19</v>
      </c>
      <c r="G39" s="194">
        <f>cat_km*133.5%</f>
        <v>0.25958333333333333</v>
      </c>
      <c r="H39" s="72">
        <f>(z_travail*75%)+fc_repos</f>
        <v>151</v>
      </c>
      <c r="I39" s="89" t="s">
        <v>155</v>
      </c>
      <c r="J39" s="212" t="s">
        <v>19</v>
      </c>
      <c r="K39" s="194">
        <f>cat_km*133.5%</f>
        <v>0.25958333333333333</v>
      </c>
      <c r="L39" s="72">
        <f>(z_travail*75%)+fc_repos</f>
        <v>151</v>
      </c>
      <c r="M39" s="103" t="s">
        <v>155</v>
      </c>
      <c r="N39" s="212" t="s">
        <v>197</v>
      </c>
      <c r="O39" s="194">
        <f>cat_km*133.5%</f>
        <v>0.25958333333333333</v>
      </c>
      <c r="P39" s="72">
        <f>(z_travail*75%)+fc_repos</f>
        <v>151</v>
      </c>
    </row>
    <row r="40" spans="1:16" ht="33.75" customHeight="1">
      <c r="A40" s="89" t="s">
        <v>152</v>
      </c>
      <c r="B40" s="158" t="s">
        <v>60</v>
      </c>
      <c r="C40" s="75"/>
      <c r="D40" s="72"/>
      <c r="E40" s="103" t="s">
        <v>152</v>
      </c>
      <c r="F40" s="158" t="s">
        <v>60</v>
      </c>
      <c r="G40" s="75"/>
      <c r="H40" s="163"/>
      <c r="I40" s="89" t="s">
        <v>152</v>
      </c>
      <c r="J40" s="158" t="s">
        <v>60</v>
      </c>
      <c r="K40" s="75"/>
      <c r="L40" s="72"/>
      <c r="M40" s="103" t="s">
        <v>152</v>
      </c>
      <c r="N40" s="158" t="s">
        <v>60</v>
      </c>
      <c r="O40" s="75"/>
      <c r="P40" s="72"/>
    </row>
    <row r="41" spans="1:16" ht="33.75" customHeight="1" thickBot="1">
      <c r="A41" s="165" t="s">
        <v>153</v>
      </c>
      <c r="B41" s="216" t="s">
        <v>199</v>
      </c>
      <c r="C41" s="193">
        <f>(cat_km)*143%</f>
        <v>0.27805555555555556</v>
      </c>
      <c r="D41" s="73">
        <f>(z_travail*70%)+fc_repos</f>
        <v>144</v>
      </c>
      <c r="E41" s="103" t="s">
        <v>153</v>
      </c>
      <c r="F41" s="208" t="s">
        <v>219</v>
      </c>
      <c r="G41" s="75" t="str">
        <f>al_marathon</f>
        <v>03:42</v>
      </c>
      <c r="H41" s="163">
        <f>Puls</f>
        <v>165</v>
      </c>
      <c r="I41" s="89" t="s">
        <v>153</v>
      </c>
      <c r="J41" s="208" t="s">
        <v>218</v>
      </c>
      <c r="K41" s="75" t="str">
        <f>al_marathon</f>
        <v>03:42</v>
      </c>
      <c r="L41" s="72">
        <f>Puls</f>
        <v>165</v>
      </c>
      <c r="M41" s="177" t="s">
        <v>153</v>
      </c>
      <c r="N41" s="216" t="s">
        <v>199</v>
      </c>
      <c r="O41" s="193">
        <f>(cat_km)*143%</f>
        <v>0.27805555555555556</v>
      </c>
      <c r="P41" s="73">
        <f>(z_travail*70%)+fc_repos</f>
        <v>144</v>
      </c>
    </row>
    <row r="42" spans="1:16" ht="33.75" customHeight="1" thickBot="1">
      <c r="A42" s="166" t="s">
        <v>154</v>
      </c>
      <c r="B42" s="173" t="s">
        <v>200</v>
      </c>
      <c r="C42" s="168" t="str">
        <f>al_marathon</f>
        <v>03:42</v>
      </c>
      <c r="D42" s="190">
        <f>Puls</f>
        <v>165</v>
      </c>
      <c r="E42" s="104" t="s">
        <v>154</v>
      </c>
      <c r="F42" s="218" t="s">
        <v>237</v>
      </c>
      <c r="G42" s="193">
        <f>cat_km*143%</f>
        <v>0.27805555555555556</v>
      </c>
      <c r="H42" s="73">
        <f>(z_travail*70%)+fc_repos</f>
        <v>144</v>
      </c>
      <c r="I42" s="90" t="s">
        <v>154</v>
      </c>
      <c r="J42" s="218" t="s">
        <v>238</v>
      </c>
      <c r="K42" s="193">
        <f>cat_km*143%</f>
        <v>0.27805555555555556</v>
      </c>
      <c r="L42" s="73">
        <f>(z_travail*70%)+fc_repos</f>
        <v>144</v>
      </c>
      <c r="M42" s="166" t="s">
        <v>154</v>
      </c>
      <c r="N42" s="167" t="s">
        <v>186</v>
      </c>
      <c r="O42" s="168">
        <f>objectif</f>
        <v>0.025694444444444447</v>
      </c>
      <c r="P42" s="190">
        <f>Puls</f>
        <v>165</v>
      </c>
    </row>
    <row r="43" spans="1:2" ht="33.75" customHeight="1">
      <c r="A43" s="237"/>
      <c r="B43" s="236"/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ignoredErrors>
    <ignoredError sqref="O23 O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P42"/>
  <sheetViews>
    <sheetView zoomScale="75" zoomScaleNormal="75" workbookViewId="0" topLeftCell="A10">
      <selection activeCell="M31" sqref="M3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71093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3.710937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3.7109375" style="15" bestFit="1" customWidth="1"/>
    <col min="13" max="13" width="6.7109375" style="0" customWidth="1"/>
    <col min="14" max="14" width="16.421875" style="14" customWidth="1"/>
    <col min="15" max="15" width="7.7109375" style="0" customWidth="1"/>
    <col min="16" max="16" width="3.7109375" style="15" bestFit="1" customWidth="1"/>
  </cols>
  <sheetData>
    <row r="3" ht="33.75" customHeight="1" thickBot="1"/>
    <row r="4" spans="1:16" ht="33.75" customHeight="1" thickBot="1">
      <c r="A4" s="91"/>
      <c r="B4" s="363" t="s">
        <v>63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92"/>
      <c r="P4" s="93"/>
    </row>
    <row r="5" spans="1:16" ht="33.75" customHeight="1" thickBot="1">
      <c r="A5" s="153"/>
      <c r="B5" s="179" t="str">
        <f>"semaine du "&amp;TEXT(mdate-83,"jj/mm")&amp;" au "&amp;TEXT(mdate-77,"jj/mm")</f>
        <v>semaine du 15/02 au 21/02</v>
      </c>
      <c r="C5" s="179" t="s">
        <v>126</v>
      </c>
      <c r="D5" s="180" t="s">
        <v>59</v>
      </c>
      <c r="E5" s="153"/>
      <c r="F5" s="179" t="str">
        <f>"semaine du "&amp;TEXT(mdate-76,"jj/mm")&amp;" au "&amp;TEXT(mdate-70,"jj/mm")</f>
        <v>semaine du 22/02 au 28/02</v>
      </c>
      <c r="G5" s="195" t="s">
        <v>126</v>
      </c>
      <c r="H5" s="180" t="s">
        <v>59</v>
      </c>
      <c r="I5" s="153"/>
      <c r="J5" s="179" t="str">
        <f>"semaine du "&amp;TEXT(mdate-69,"jj/mm")&amp;" au "&amp;TEXT(mdate-63,"jj/mm")</f>
        <v>semaine du 01/03 au 07/03</v>
      </c>
      <c r="K5" s="179" t="s">
        <v>126</v>
      </c>
      <c r="L5" s="180" t="s">
        <v>59</v>
      </c>
      <c r="M5" s="153"/>
      <c r="N5" s="179" t="str">
        <f>"semaine du "&amp;TEXT(mdate-62,"jj/mm")&amp;" au "&amp;TEXT(mdate-56,"jj/mm")</f>
        <v>semaine du 08/03 au 14/03</v>
      </c>
      <c r="O5" s="179" t="s">
        <v>126</v>
      </c>
      <c r="P5" s="180" t="s">
        <v>59</v>
      </c>
    </row>
    <row r="6" spans="1:16" ht="33.75" customHeight="1">
      <c r="A6" s="98" t="s">
        <v>157</v>
      </c>
      <c r="B6" s="161" t="s">
        <v>60</v>
      </c>
      <c r="C6" s="99"/>
      <c r="D6" s="162"/>
      <c r="E6" s="98" t="s">
        <v>157</v>
      </c>
      <c r="F6" s="161" t="s">
        <v>60</v>
      </c>
      <c r="G6" s="99"/>
      <c r="H6" s="162"/>
      <c r="I6" s="98" t="s">
        <v>157</v>
      </c>
      <c r="J6" s="161" t="s">
        <v>60</v>
      </c>
      <c r="K6" s="99"/>
      <c r="L6" s="162"/>
      <c r="M6" s="98" t="s">
        <v>157</v>
      </c>
      <c r="N6" s="161" t="s">
        <v>60</v>
      </c>
      <c r="O6" s="99"/>
      <c r="P6" s="101"/>
    </row>
    <row r="7" spans="1:16" ht="33.75" customHeight="1">
      <c r="A7" s="89" t="s">
        <v>156</v>
      </c>
      <c r="B7" s="212" t="s">
        <v>125</v>
      </c>
      <c r="C7" s="194">
        <f>cat_km*133.5%</f>
        <v>0.25958333333333333</v>
      </c>
      <c r="D7" s="72">
        <f>(z_travail*75%)+fc_repos</f>
        <v>151</v>
      </c>
      <c r="E7" s="89" t="s">
        <v>156</v>
      </c>
      <c r="F7" s="182" t="s">
        <v>192</v>
      </c>
      <c r="G7" s="97">
        <f>cat_vitesse*30</f>
        <v>107.14285714285715</v>
      </c>
      <c r="H7" s="72">
        <f>fc_x</f>
        <v>183.2</v>
      </c>
      <c r="I7" s="89" t="s">
        <v>156</v>
      </c>
      <c r="J7" s="204" t="s">
        <v>212</v>
      </c>
      <c r="K7" s="194">
        <f>((cat_km*95%)/1000)*300</f>
        <v>0.05541666666666666</v>
      </c>
      <c r="L7" s="163">
        <f>fc_300</f>
        <v>181.79999999999998</v>
      </c>
      <c r="M7" s="89" t="s">
        <v>156</v>
      </c>
      <c r="N7" s="182" t="s">
        <v>193</v>
      </c>
      <c r="O7" s="97">
        <f>cat_vitesse*20</f>
        <v>71.42857142857143</v>
      </c>
      <c r="P7" s="72">
        <f>fc_x</f>
        <v>183.2</v>
      </c>
    </row>
    <row r="8" spans="1:16" ht="33.75" customHeight="1">
      <c r="A8" s="89" t="s">
        <v>151</v>
      </c>
      <c r="B8" s="158" t="s">
        <v>60</v>
      </c>
      <c r="C8" s="97"/>
      <c r="D8" s="163"/>
      <c r="E8" s="89" t="s">
        <v>151</v>
      </c>
      <c r="F8" s="158" t="s">
        <v>60</v>
      </c>
      <c r="G8" s="75"/>
      <c r="H8" s="163"/>
      <c r="I8" s="89" t="s">
        <v>151</v>
      </c>
      <c r="J8" s="158" t="s">
        <v>60</v>
      </c>
      <c r="K8" s="97"/>
      <c r="L8" s="163"/>
      <c r="M8" s="89" t="s">
        <v>151</v>
      </c>
      <c r="N8" s="158" t="s">
        <v>60</v>
      </c>
      <c r="O8" s="75"/>
      <c r="P8" s="72"/>
    </row>
    <row r="9" spans="1:16" ht="33.75" customHeight="1">
      <c r="A9" s="89" t="s">
        <v>155</v>
      </c>
      <c r="B9" s="212" t="s">
        <v>125</v>
      </c>
      <c r="C9" s="194">
        <f>cat_km*133.5%</f>
        <v>0.25958333333333333</v>
      </c>
      <c r="D9" s="72">
        <f>(z_travail*75%)+fc_repos</f>
        <v>151</v>
      </c>
      <c r="E9" s="89" t="s">
        <v>155</v>
      </c>
      <c r="F9" s="212" t="s">
        <v>125</v>
      </c>
      <c r="G9" s="194">
        <f>cat_km*133.5%</f>
        <v>0.25958333333333333</v>
      </c>
      <c r="H9" s="72">
        <f>(z_travail*75%)+fc_repos</f>
        <v>151</v>
      </c>
      <c r="I9" s="89" t="s">
        <v>155</v>
      </c>
      <c r="J9" s="212" t="s">
        <v>197</v>
      </c>
      <c r="K9" s="194">
        <f>cat_km*133.5%</f>
        <v>0.25958333333333333</v>
      </c>
      <c r="L9" s="72">
        <f>(z_travail*75%)+fc_repos</f>
        <v>151</v>
      </c>
      <c r="M9" s="89" t="s">
        <v>155</v>
      </c>
      <c r="N9" s="212" t="s">
        <v>197</v>
      </c>
      <c r="O9" s="194">
        <f>cat_km*133.5%</f>
        <v>0.25958333333333333</v>
      </c>
      <c r="P9" s="72">
        <f>(z_travail*75%)+fc_repos</f>
        <v>151</v>
      </c>
    </row>
    <row r="10" spans="1:16" ht="33.75" customHeight="1">
      <c r="A10" s="89" t="s">
        <v>152</v>
      </c>
      <c r="B10" s="158" t="s">
        <v>60</v>
      </c>
      <c r="C10" s="75"/>
      <c r="D10" s="163"/>
      <c r="E10" s="89" t="s">
        <v>152</v>
      </c>
      <c r="F10" s="158" t="s">
        <v>60</v>
      </c>
      <c r="G10" s="75"/>
      <c r="H10" s="163"/>
      <c r="I10" s="89" t="s">
        <v>152</v>
      </c>
      <c r="J10" s="158" t="s">
        <v>60</v>
      </c>
      <c r="K10" s="75"/>
      <c r="L10" s="163"/>
      <c r="M10" s="89" t="s">
        <v>152</v>
      </c>
      <c r="N10" s="158" t="s">
        <v>60</v>
      </c>
      <c r="O10" s="75"/>
      <c r="P10" s="72"/>
    </row>
    <row r="11" spans="1:16" ht="33.75" customHeight="1">
      <c r="A11" s="89" t="s">
        <v>153</v>
      </c>
      <c r="B11" s="204" t="s">
        <v>213</v>
      </c>
      <c r="C11" s="194">
        <f>((cat_km*83%)/1000)*150</f>
        <v>0.024208333333333335</v>
      </c>
      <c r="D11" s="163">
        <f>fc_150</f>
        <v>183.9</v>
      </c>
      <c r="E11" s="89" t="s">
        <v>153</v>
      </c>
      <c r="F11" s="208" t="s">
        <v>234</v>
      </c>
      <c r="G11" s="75" t="str">
        <f>al_marathon</f>
        <v>03:42</v>
      </c>
      <c r="H11" s="163">
        <f>Puls</f>
        <v>165</v>
      </c>
      <c r="I11" s="89" t="s">
        <v>153</v>
      </c>
      <c r="J11" s="208" t="s">
        <v>235</v>
      </c>
      <c r="K11" s="75" t="str">
        <f>al_marathon</f>
        <v>03:42</v>
      </c>
      <c r="L11" s="163">
        <f>Puls</f>
        <v>165</v>
      </c>
      <c r="M11" s="89" t="s">
        <v>153</v>
      </c>
      <c r="N11" s="208" t="s">
        <v>236</v>
      </c>
      <c r="O11" s="75" t="str">
        <f>al_marathon</f>
        <v>03:42</v>
      </c>
      <c r="P11" s="72">
        <f>Puls</f>
        <v>165</v>
      </c>
    </row>
    <row r="12" spans="1:16" ht="33.75" customHeight="1" thickBot="1">
      <c r="A12" s="90" t="s">
        <v>154</v>
      </c>
      <c r="B12" s="218" t="s">
        <v>202</v>
      </c>
      <c r="C12" s="193">
        <f>cat_km*143%</f>
        <v>0.27805555555555556</v>
      </c>
      <c r="D12" s="73">
        <f>(z_travail*70%)+fc_repos</f>
        <v>144</v>
      </c>
      <c r="E12" s="90" t="s">
        <v>154</v>
      </c>
      <c r="F12" s="218" t="s">
        <v>203</v>
      </c>
      <c r="G12" s="193">
        <f>cat_km*143%</f>
        <v>0.27805555555555556</v>
      </c>
      <c r="H12" s="73">
        <f>(z_travail*70%)+fc_repos</f>
        <v>144</v>
      </c>
      <c r="I12" s="90" t="s">
        <v>154</v>
      </c>
      <c r="J12" s="218" t="s">
        <v>204</v>
      </c>
      <c r="K12" s="193">
        <f>cat_km*143%</f>
        <v>0.27805555555555556</v>
      </c>
      <c r="L12" s="73">
        <f>(z_travail*70%)+fc_repos</f>
        <v>144</v>
      </c>
      <c r="M12" s="90" t="s">
        <v>154</v>
      </c>
      <c r="N12" s="218" t="s">
        <v>205</v>
      </c>
      <c r="O12" s="193">
        <f>cat_km*143%</f>
        <v>0.27805555555555556</v>
      </c>
      <c r="P12" s="73">
        <f>(z_travail*70%)+fc_repos</f>
        <v>144</v>
      </c>
    </row>
    <row r="13" spans="1:2" ht="33.75" customHeight="1">
      <c r="A13" s="237" t="s">
        <v>290</v>
      </c>
      <c r="B13" s="236" t="s">
        <v>291</v>
      </c>
    </row>
    <row r="18" ht="33.75" customHeight="1" thickBot="1"/>
    <row r="19" spans="1:16" ht="33.75" customHeight="1" thickBot="1">
      <c r="A19" s="91"/>
      <c r="B19" s="363" t="s">
        <v>64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92"/>
      <c r="P19" s="93"/>
    </row>
    <row r="20" spans="1:16" ht="33.75" customHeight="1" thickBot="1">
      <c r="A20" s="153"/>
      <c r="B20" s="154" t="str">
        <f>"semaine du "&amp;TEXT(mdate-55,"jj/mm")&amp;" au "&amp;TEXT(mdate-49,"jj/mm")</f>
        <v>semaine du 15/03 au 21/03</v>
      </c>
      <c r="C20" s="157"/>
      <c r="D20" s="155"/>
      <c r="E20" s="153"/>
      <c r="F20" s="154" t="str">
        <f>"semaine du "&amp;TEXT(mdate-48,"jj/mm")&amp;" au "&amp;TEXT(mdate-42,"jj/mm")</f>
        <v>semaine du 22/03 au 28/03</v>
      </c>
      <c r="G20" s="157"/>
      <c r="H20" s="155"/>
      <c r="I20" s="153"/>
      <c r="J20" s="154" t="str">
        <f>"semaine du "&amp;TEXT(mdate-41,"jj/mm")&amp;" au "&amp;TEXT(mdate-35,"jj/mm")</f>
        <v>semaine du 29/03 au 04/04</v>
      </c>
      <c r="K20" s="152"/>
      <c r="L20" s="155"/>
      <c r="M20" s="153"/>
      <c r="N20" s="154" t="str">
        <f>"semaine du "&amp;TEXT(mdate-34,"jj/mm")&amp;" au "&amp;TEXT(mdate-28,"jj/mm")</f>
        <v>semaine du 05/04 au 11/04</v>
      </c>
      <c r="O20" s="152"/>
      <c r="P20" s="155"/>
    </row>
    <row r="21" spans="1:16" ht="33.75" customHeight="1">
      <c r="A21" s="98" t="s">
        <v>157</v>
      </c>
      <c r="B21" s="161" t="s">
        <v>60</v>
      </c>
      <c r="C21" s="99"/>
      <c r="D21" s="101"/>
      <c r="E21" s="98" t="s">
        <v>157</v>
      </c>
      <c r="F21" s="161" t="s">
        <v>60</v>
      </c>
      <c r="G21" s="99"/>
      <c r="H21" s="162"/>
      <c r="I21" s="98" t="s">
        <v>157</v>
      </c>
      <c r="J21" s="161" t="s">
        <v>60</v>
      </c>
      <c r="K21" s="99"/>
      <c r="L21" s="101"/>
      <c r="M21" s="102" t="s">
        <v>157</v>
      </c>
      <c r="N21" s="161" t="s">
        <v>60</v>
      </c>
      <c r="O21" s="99"/>
      <c r="P21" s="101"/>
    </row>
    <row r="22" spans="1:16" ht="33.75" customHeight="1">
      <c r="A22" s="89" t="s">
        <v>156</v>
      </c>
      <c r="B22" s="208" t="s">
        <v>224</v>
      </c>
      <c r="C22" s="75" t="str">
        <f>al_marathon</f>
        <v>03:42</v>
      </c>
      <c r="D22" s="72">
        <f>Puls</f>
        <v>165</v>
      </c>
      <c r="E22" s="89" t="s">
        <v>156</v>
      </c>
      <c r="F22" s="204" t="s">
        <v>214</v>
      </c>
      <c r="G22" s="194">
        <f>((cat_km*83%)/1000)*200</f>
        <v>0.03227777777777778</v>
      </c>
      <c r="H22" s="163">
        <f>fc_200</f>
        <v>183.2</v>
      </c>
      <c r="I22" s="89" t="s">
        <v>156</v>
      </c>
      <c r="J22" s="204" t="s">
        <v>215</v>
      </c>
      <c r="K22" s="194">
        <f>((cat_km)/1000)*500</f>
        <v>0.09722222222222222</v>
      </c>
      <c r="L22" s="72">
        <f>fc_500</f>
        <v>179</v>
      </c>
      <c r="M22" s="103" t="s">
        <v>156</v>
      </c>
      <c r="N22" s="182" t="s">
        <v>206</v>
      </c>
      <c r="O22" s="97">
        <f>cat_vitesse*20</f>
        <v>71.42857142857143</v>
      </c>
      <c r="P22" s="72">
        <f>fc_x</f>
        <v>183.2</v>
      </c>
    </row>
    <row r="23" spans="1:16" ht="33.75" customHeight="1">
      <c r="A23" s="89" t="s">
        <v>151</v>
      </c>
      <c r="B23" s="158" t="s">
        <v>60</v>
      </c>
      <c r="C23" s="97"/>
      <c r="D23" s="72"/>
      <c r="E23" s="89" t="s">
        <v>151</v>
      </c>
      <c r="F23" s="158" t="s">
        <v>60</v>
      </c>
      <c r="G23" s="75"/>
      <c r="H23" s="163"/>
      <c r="I23" s="89" t="s">
        <v>151</v>
      </c>
      <c r="J23" s="158" t="s">
        <v>60</v>
      </c>
      <c r="K23" s="97"/>
      <c r="L23" s="72"/>
      <c r="M23" s="103" t="s">
        <v>151</v>
      </c>
      <c r="N23" s="158" t="s">
        <v>60</v>
      </c>
      <c r="O23" s="75"/>
      <c r="P23" s="72"/>
    </row>
    <row r="24" spans="1:16" ht="33.75" customHeight="1">
      <c r="A24" s="89" t="s">
        <v>155</v>
      </c>
      <c r="B24" s="212" t="s">
        <v>197</v>
      </c>
      <c r="C24" s="194">
        <f>cat_km*133.5%</f>
        <v>0.25958333333333333</v>
      </c>
      <c r="D24" s="72">
        <f>(z_travail*75%)+fc_repos</f>
        <v>151</v>
      </c>
      <c r="E24" s="89" t="s">
        <v>155</v>
      </c>
      <c r="F24" s="212" t="s">
        <v>197</v>
      </c>
      <c r="G24" s="194">
        <f>cat_km*133.5%</f>
        <v>0.25958333333333333</v>
      </c>
      <c r="H24" s="72">
        <f>(z_travail*75%)+fc_repos</f>
        <v>151</v>
      </c>
      <c r="I24" s="89" t="s">
        <v>155</v>
      </c>
      <c r="J24" s="184" t="s">
        <v>198</v>
      </c>
      <c r="K24" s="194">
        <f>cat_km*143%</f>
        <v>0.27805555555555556</v>
      </c>
      <c r="L24" s="72">
        <f>(z_travail*70%)+fc_repos</f>
        <v>144</v>
      </c>
      <c r="M24" s="103" t="s">
        <v>155</v>
      </c>
      <c r="N24" s="212" t="s">
        <v>19</v>
      </c>
      <c r="O24" s="194">
        <f>cat_km*133.5%</f>
        <v>0.25958333333333333</v>
      </c>
      <c r="P24" s="72">
        <f>(z_travail*75%)+fc_repos</f>
        <v>151</v>
      </c>
    </row>
    <row r="25" spans="1:16" ht="33.75" customHeight="1">
      <c r="A25" s="89" t="s">
        <v>152</v>
      </c>
      <c r="B25" s="158" t="s">
        <v>60</v>
      </c>
      <c r="C25" s="75"/>
      <c r="D25" s="72"/>
      <c r="E25" s="89" t="s">
        <v>152</v>
      </c>
      <c r="F25" s="158" t="s">
        <v>60</v>
      </c>
      <c r="G25" s="75"/>
      <c r="H25" s="163"/>
      <c r="I25" s="89" t="s">
        <v>152</v>
      </c>
      <c r="J25" s="158" t="s">
        <v>60</v>
      </c>
      <c r="K25" s="74"/>
      <c r="L25" s="72"/>
      <c r="M25" s="103" t="s">
        <v>152</v>
      </c>
      <c r="N25" s="158" t="s">
        <v>60</v>
      </c>
      <c r="O25" s="75"/>
      <c r="P25" s="72"/>
    </row>
    <row r="26" spans="1:16" ht="33.75" customHeight="1" thickBot="1">
      <c r="A26" s="89" t="s">
        <v>153</v>
      </c>
      <c r="B26" s="208" t="s">
        <v>217</v>
      </c>
      <c r="C26" s="75" t="str">
        <f>al_marathon</f>
        <v>03:42</v>
      </c>
      <c r="D26" s="72">
        <f>Puls</f>
        <v>165</v>
      </c>
      <c r="E26" s="89" t="s">
        <v>153</v>
      </c>
      <c r="F26" s="208" t="s">
        <v>222</v>
      </c>
      <c r="G26" s="75" t="str">
        <f>al_marathon</f>
        <v>03:42</v>
      </c>
      <c r="H26" s="163">
        <f>Puls</f>
        <v>165</v>
      </c>
      <c r="I26" s="165" t="s">
        <v>153</v>
      </c>
      <c r="J26" s="216" t="s">
        <v>199</v>
      </c>
      <c r="K26" s="193">
        <f>cat_km*143%</f>
        <v>0.27805555555555556</v>
      </c>
      <c r="L26" s="105">
        <f>(z_travail*70%)+fc_repos</f>
        <v>144</v>
      </c>
      <c r="M26" s="103" t="s">
        <v>153</v>
      </c>
      <c r="N26" s="208" t="s">
        <v>223</v>
      </c>
      <c r="O26" s="75" t="str">
        <f>al_marathon</f>
        <v>03:42</v>
      </c>
      <c r="P26" s="72">
        <f>Puls</f>
        <v>165</v>
      </c>
    </row>
    <row r="27" spans="1:16" ht="33.75" customHeight="1" thickBot="1">
      <c r="A27" s="90" t="s">
        <v>154</v>
      </c>
      <c r="B27" s="218" t="s">
        <v>205</v>
      </c>
      <c r="C27" s="193">
        <f>cat_km*143%</f>
        <v>0.27805555555555556</v>
      </c>
      <c r="D27" s="73">
        <f>(z_travail*70%)+fc_repos</f>
        <v>144</v>
      </c>
      <c r="E27" s="90" t="s">
        <v>154</v>
      </c>
      <c r="F27" s="218" t="s">
        <v>201</v>
      </c>
      <c r="G27" s="193">
        <f>cat_km*143%</f>
        <v>0.27805555555555556</v>
      </c>
      <c r="H27" s="181">
        <f>(z_travail*70%)+fc_repos</f>
        <v>144</v>
      </c>
      <c r="I27" s="166" t="s">
        <v>154</v>
      </c>
      <c r="J27" s="173" t="s">
        <v>187</v>
      </c>
      <c r="K27" s="192" t="str">
        <f>al_marathon</f>
        <v>03:42</v>
      </c>
      <c r="L27" s="190">
        <f>Puls</f>
        <v>165</v>
      </c>
      <c r="M27" s="104" t="s">
        <v>154</v>
      </c>
      <c r="N27" s="218" t="s">
        <v>237</v>
      </c>
      <c r="O27" s="193">
        <f>cat_km*143%</f>
        <v>0.27805555555555556</v>
      </c>
      <c r="P27" s="73">
        <f>(z_travail*70%)+fc_repos</f>
        <v>144</v>
      </c>
    </row>
    <row r="28" spans="1:13" ht="33.75" customHeight="1">
      <c r="A28" s="42"/>
      <c r="B28" s="42"/>
      <c r="C28" s="43"/>
      <c r="D28" s="44"/>
      <c r="E28" s="42"/>
      <c r="F28" s="42"/>
      <c r="G28" s="45"/>
      <c r="H28" s="44"/>
      <c r="I28" s="42"/>
      <c r="J28" s="46"/>
      <c r="K28" s="45"/>
      <c r="L28" s="44"/>
      <c r="M28" s="42"/>
    </row>
    <row r="29" spans="1:13" ht="33.75" customHeight="1">
      <c r="A29" s="42"/>
      <c r="B29" s="42"/>
      <c r="C29" s="43"/>
      <c r="D29" s="44"/>
      <c r="E29" s="42"/>
      <c r="F29" s="42"/>
      <c r="G29" s="45"/>
      <c r="H29" s="44"/>
      <c r="I29" s="42"/>
      <c r="J29" s="46"/>
      <c r="K29" s="45"/>
      <c r="L29" s="44"/>
      <c r="M29" s="42"/>
    </row>
    <row r="30" spans="1:13" ht="33.75" customHeight="1">
      <c r="A30" s="42"/>
      <c r="B30" s="42"/>
      <c r="C30" s="43"/>
      <c r="D30" s="44"/>
      <c r="E30" s="42"/>
      <c r="F30" s="42"/>
      <c r="G30" s="45"/>
      <c r="H30" s="44"/>
      <c r="I30" s="42"/>
      <c r="J30" s="46"/>
      <c r="K30" s="45"/>
      <c r="L30" s="44"/>
      <c r="M30" s="42"/>
    </row>
    <row r="31" spans="1:13" ht="33.75" customHeight="1">
      <c r="A31" s="42"/>
      <c r="B31" s="42"/>
      <c r="C31" s="43"/>
      <c r="D31" s="44"/>
      <c r="E31" s="42"/>
      <c r="F31" s="42"/>
      <c r="G31" s="45"/>
      <c r="H31" s="44"/>
      <c r="I31" s="42"/>
      <c r="J31" s="46"/>
      <c r="K31" s="45"/>
      <c r="L31" s="44"/>
      <c r="M31" s="42"/>
    </row>
    <row r="32" spans="1:13" ht="33.75" customHeight="1">
      <c r="A32" s="42"/>
      <c r="B32" s="42"/>
      <c r="C32" s="43"/>
      <c r="D32" s="44"/>
      <c r="E32" s="42"/>
      <c r="F32" s="42"/>
      <c r="G32" s="45"/>
      <c r="H32" s="44"/>
      <c r="I32" s="42"/>
      <c r="J32" s="46"/>
      <c r="K32" s="45"/>
      <c r="L32" s="44"/>
      <c r="M32" s="42"/>
    </row>
    <row r="33" ht="33.75" customHeight="1" thickBot="1"/>
    <row r="34" spans="1:16" ht="33.75" customHeight="1" thickBot="1">
      <c r="A34" s="91"/>
      <c r="B34" s="363" t="s">
        <v>158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92"/>
      <c r="P34" s="93"/>
    </row>
    <row r="35" spans="1:16" ht="33.75" customHeight="1" thickBot="1">
      <c r="A35" s="153"/>
      <c r="B35" s="179" t="str">
        <f>"semaine du "&amp;TEXT(mdate-27,"jj/mm")&amp;" au "&amp;TEXT(mdate-21,"jj/mm")</f>
        <v>semaine du 12/04 au 18/04</v>
      </c>
      <c r="C35" s="195"/>
      <c r="D35" s="180"/>
      <c r="E35" s="153"/>
      <c r="F35" s="179" t="str">
        <f>"semaine du "&amp;TEXT(mdate-20,"jj/mm")&amp;" au "&amp;TEXT(mdate-14,"jj/mm")</f>
        <v>semaine du 19/04 au 25/04</v>
      </c>
      <c r="G35" s="195"/>
      <c r="H35" s="180"/>
      <c r="I35" s="153"/>
      <c r="J35" s="179" t="str">
        <f>"semaine du "&amp;TEXT(mdate-13,"jj/mm")&amp;" au "&amp;TEXT(mdate-7,"jj/mm")</f>
        <v>semaine du 26/04 au 02/05</v>
      </c>
      <c r="K35" s="196"/>
      <c r="L35" s="180"/>
      <c r="M35" s="153"/>
      <c r="N35" s="179" t="str">
        <f>"semaine du "&amp;TEXT(mdate-6,"jj/mm")&amp;" au "&amp;TEXT(mdate,"jj/mm")</f>
        <v>semaine du 03/05 au 09/05</v>
      </c>
      <c r="O35" s="196"/>
      <c r="P35" s="180"/>
    </row>
    <row r="36" spans="1:16" ht="33.75" customHeight="1">
      <c r="A36" s="98" t="s">
        <v>157</v>
      </c>
      <c r="B36" s="161" t="s">
        <v>60</v>
      </c>
      <c r="C36" s="99"/>
      <c r="D36" s="101"/>
      <c r="E36" s="102" t="s">
        <v>157</v>
      </c>
      <c r="F36" s="161" t="s">
        <v>60</v>
      </c>
      <c r="G36" s="99"/>
      <c r="H36" s="162"/>
      <c r="I36" s="98" t="s">
        <v>157</v>
      </c>
      <c r="J36" s="161" t="s">
        <v>60</v>
      </c>
      <c r="K36" s="99"/>
      <c r="L36" s="101"/>
      <c r="M36" s="102" t="s">
        <v>157</v>
      </c>
      <c r="N36" s="161" t="s">
        <v>60</v>
      </c>
      <c r="O36" s="99"/>
      <c r="P36" s="101"/>
    </row>
    <row r="37" spans="1:16" ht="33.75" customHeight="1">
      <c r="A37" s="89" t="s">
        <v>156</v>
      </c>
      <c r="B37" s="208" t="s">
        <v>220</v>
      </c>
      <c r="C37" s="75" t="str">
        <f>al_marathon</f>
        <v>03:42</v>
      </c>
      <c r="D37" s="72">
        <f>Puls</f>
        <v>165</v>
      </c>
      <c r="E37" s="103" t="s">
        <v>156</v>
      </c>
      <c r="F37" s="204" t="s">
        <v>207</v>
      </c>
      <c r="G37" s="194">
        <f>((cat_km*105%))</f>
        <v>0.2041666666666667</v>
      </c>
      <c r="H37" s="163">
        <f>fc_1000</f>
        <v>172</v>
      </c>
      <c r="I37" s="89" t="s">
        <v>156</v>
      </c>
      <c r="J37" s="182" t="s">
        <v>189</v>
      </c>
      <c r="K37" s="97">
        <f>cat_vitesse*60</f>
        <v>214.2857142857143</v>
      </c>
      <c r="L37" s="72">
        <f>fc_x</f>
        <v>183.2</v>
      </c>
      <c r="M37" s="103" t="s">
        <v>156</v>
      </c>
      <c r="N37" s="204" t="s">
        <v>216</v>
      </c>
      <c r="O37" s="194">
        <f>((cat_km*97%)/1000)*400</f>
        <v>0.07544444444444445</v>
      </c>
      <c r="P37" s="72">
        <f>fc_400</f>
        <v>180.4</v>
      </c>
    </row>
    <row r="38" spans="1:16" ht="33.75" customHeight="1">
      <c r="A38" s="89" t="s">
        <v>151</v>
      </c>
      <c r="B38" s="158" t="s">
        <v>60</v>
      </c>
      <c r="C38" s="75"/>
      <c r="D38" s="72"/>
      <c r="E38" s="103" t="s">
        <v>151</v>
      </c>
      <c r="F38" s="158" t="s">
        <v>60</v>
      </c>
      <c r="G38" s="75"/>
      <c r="H38" s="163"/>
      <c r="I38" s="89" t="s">
        <v>151</v>
      </c>
      <c r="J38" s="158" t="s">
        <v>60</v>
      </c>
      <c r="K38" s="75"/>
      <c r="L38" s="72"/>
      <c r="M38" s="103" t="s">
        <v>151</v>
      </c>
      <c r="N38" s="158" t="s">
        <v>60</v>
      </c>
      <c r="O38" s="75"/>
      <c r="P38" s="72"/>
    </row>
    <row r="39" spans="1:16" ht="33.75" customHeight="1">
      <c r="A39" s="89" t="s">
        <v>155</v>
      </c>
      <c r="B39" s="212" t="s">
        <v>19</v>
      </c>
      <c r="C39" s="194">
        <f>cat_km*133.5%</f>
        <v>0.25958333333333333</v>
      </c>
      <c r="D39" s="72">
        <f>(z_travail*75%)+fc_repos</f>
        <v>151</v>
      </c>
      <c r="E39" s="103" t="s">
        <v>155</v>
      </c>
      <c r="F39" s="212" t="s">
        <v>19</v>
      </c>
      <c r="G39" s="194">
        <f>cat_km*133.5%</f>
        <v>0.25958333333333333</v>
      </c>
      <c r="H39" s="72">
        <f>(z_travail*75%)+fc_repos</f>
        <v>151</v>
      </c>
      <c r="I39" s="89" t="s">
        <v>155</v>
      </c>
      <c r="J39" s="212" t="s">
        <v>19</v>
      </c>
      <c r="K39" s="194">
        <f>cat_km*133.5%</f>
        <v>0.25958333333333333</v>
      </c>
      <c r="L39" s="72">
        <f>(z_travail*75%)+fc_repos</f>
        <v>151</v>
      </c>
      <c r="M39" s="103" t="s">
        <v>155</v>
      </c>
      <c r="N39" s="212" t="s">
        <v>197</v>
      </c>
      <c r="O39" s="194">
        <f>cat_km*133.5%</f>
        <v>0.25958333333333333</v>
      </c>
      <c r="P39" s="72">
        <f>(z_travail*75%)+fc_repos</f>
        <v>151</v>
      </c>
    </row>
    <row r="40" spans="1:16" ht="33.75" customHeight="1">
      <c r="A40" s="89" t="s">
        <v>152</v>
      </c>
      <c r="B40" s="158" t="s">
        <v>60</v>
      </c>
      <c r="C40" s="75"/>
      <c r="D40" s="72"/>
      <c r="E40" s="103" t="s">
        <v>152</v>
      </c>
      <c r="F40" s="158" t="s">
        <v>60</v>
      </c>
      <c r="G40" s="75"/>
      <c r="H40" s="163"/>
      <c r="I40" s="89" t="s">
        <v>152</v>
      </c>
      <c r="J40" s="158" t="s">
        <v>60</v>
      </c>
      <c r="K40" s="75"/>
      <c r="L40" s="72"/>
      <c r="M40" s="103" t="s">
        <v>152</v>
      </c>
      <c r="N40" s="158" t="s">
        <v>60</v>
      </c>
      <c r="O40" s="75"/>
      <c r="P40" s="72"/>
    </row>
    <row r="41" spans="1:16" ht="33.75" customHeight="1" thickBot="1">
      <c r="A41" s="165" t="s">
        <v>153</v>
      </c>
      <c r="B41" s="216" t="s">
        <v>199</v>
      </c>
      <c r="C41" s="193">
        <f>cat_km*143%</f>
        <v>0.27805555555555556</v>
      </c>
      <c r="D41" s="105">
        <f>(z_travail*70%)+fc_repos</f>
        <v>144</v>
      </c>
      <c r="E41" s="103" t="s">
        <v>153</v>
      </c>
      <c r="F41" s="208" t="s">
        <v>219</v>
      </c>
      <c r="G41" s="75" t="str">
        <f>al_marathon</f>
        <v>03:42</v>
      </c>
      <c r="H41" s="163">
        <f>Puls</f>
        <v>165</v>
      </c>
      <c r="I41" s="89" t="s">
        <v>153</v>
      </c>
      <c r="J41" s="208" t="s">
        <v>218</v>
      </c>
      <c r="K41" s="75" t="str">
        <f>al_marathon</f>
        <v>03:42</v>
      </c>
      <c r="L41" s="72">
        <f>Puls</f>
        <v>165</v>
      </c>
      <c r="M41" s="177" t="s">
        <v>153</v>
      </c>
      <c r="N41" s="216" t="s">
        <v>199</v>
      </c>
      <c r="O41" s="193">
        <f>cat_km*143%</f>
        <v>0.27805555555555556</v>
      </c>
      <c r="P41" s="105">
        <f>(z_travail*70%)+fc_repos</f>
        <v>144</v>
      </c>
    </row>
    <row r="42" spans="1:16" ht="33.75" customHeight="1" thickBot="1">
      <c r="A42" s="166" t="s">
        <v>154</v>
      </c>
      <c r="B42" s="173" t="s">
        <v>200</v>
      </c>
      <c r="C42" s="192" t="str">
        <f>al_marathon</f>
        <v>03:42</v>
      </c>
      <c r="D42" s="190">
        <f>Puls</f>
        <v>165</v>
      </c>
      <c r="E42" s="104" t="s">
        <v>154</v>
      </c>
      <c r="F42" s="218" t="s">
        <v>237</v>
      </c>
      <c r="G42" s="193">
        <f>cat_km*143%</f>
        <v>0.27805555555555556</v>
      </c>
      <c r="H42" s="73">
        <f>(z_travail*70%)+fc_repos</f>
        <v>144</v>
      </c>
      <c r="I42" s="90" t="s">
        <v>154</v>
      </c>
      <c r="J42" s="218" t="s">
        <v>238</v>
      </c>
      <c r="K42" s="193">
        <f>cat_km*143%</f>
        <v>0.27805555555555556</v>
      </c>
      <c r="L42" s="73">
        <f>(z_travail*70%)+fc_repos</f>
        <v>144</v>
      </c>
      <c r="M42" s="166" t="s">
        <v>154</v>
      </c>
      <c r="N42" s="167" t="s">
        <v>186</v>
      </c>
      <c r="O42" s="168">
        <f>objectif</f>
        <v>0.025694444444444447</v>
      </c>
      <c r="P42" s="190">
        <f>Puls</f>
        <v>165</v>
      </c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4:P42"/>
  <sheetViews>
    <sheetView zoomScale="75" zoomScaleNormal="75" workbookViewId="0" topLeftCell="A11">
      <selection activeCell="K30" sqref="K30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7109375" style="15" customWidth="1"/>
    <col min="5" max="5" width="6.7109375" style="0" customWidth="1"/>
    <col min="6" max="6" width="16.421875" style="14" customWidth="1"/>
    <col min="7" max="7" width="7.7109375" style="0" customWidth="1"/>
    <col min="8" max="8" width="3.710937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3.7109375" style="15" bestFit="1" customWidth="1"/>
    <col min="13" max="13" width="6.7109375" style="0" customWidth="1"/>
    <col min="14" max="14" width="16.421875" style="14" customWidth="1"/>
    <col min="15" max="15" width="7.7109375" style="0" customWidth="1"/>
    <col min="16" max="16" width="3.7109375" style="15" bestFit="1" customWidth="1"/>
  </cols>
  <sheetData>
    <row r="3" ht="33.75" customHeight="1" thickBot="1"/>
    <row r="4" spans="1:16" ht="33.75" customHeight="1" thickBot="1">
      <c r="A4" s="91"/>
      <c r="B4" s="363" t="s">
        <v>63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92"/>
      <c r="P4" s="93"/>
    </row>
    <row r="5" spans="1:16" ht="33.75" customHeight="1" thickBot="1">
      <c r="A5" s="153"/>
      <c r="B5" s="179" t="str">
        <f>"semaine du "&amp;TEXT(mdate-83,"jj/mm")&amp;" au "&amp;TEXT(mdate-77,"jj/mm")</f>
        <v>semaine du 15/02 au 21/02</v>
      </c>
      <c r="C5" s="179" t="s">
        <v>126</v>
      </c>
      <c r="D5" s="180" t="s">
        <v>59</v>
      </c>
      <c r="E5" s="67"/>
      <c r="F5" s="68" t="str">
        <f>"semaine du "&amp;TEXT(mdate-76,"jj/mm")&amp;" au "&amp;TEXT(mdate-70,"jj/mm")</f>
        <v>semaine du 22/02 au 28/02</v>
      </c>
      <c r="G5" s="70" t="s">
        <v>126</v>
      </c>
      <c r="H5" s="69" t="s">
        <v>59</v>
      </c>
      <c r="I5" s="153"/>
      <c r="J5" s="179" t="str">
        <f>"semaine du "&amp;TEXT(mdate-69,"jj/mm")&amp;" au "&amp;TEXT(mdate-63,"jj/mm")</f>
        <v>semaine du 01/03 au 07/03</v>
      </c>
      <c r="K5" s="179" t="s">
        <v>126</v>
      </c>
      <c r="L5" s="180" t="s">
        <v>59</v>
      </c>
      <c r="M5" s="67"/>
      <c r="N5" s="68" t="str">
        <f>"semaine du "&amp;TEXT(mdate-62,"jj/mm")&amp;" au "&amp;TEXT(mdate-56,"jj/mm")</f>
        <v>semaine du 08/03 au 14/03</v>
      </c>
      <c r="O5" s="68" t="s">
        <v>126</v>
      </c>
      <c r="P5" s="69" t="s">
        <v>59</v>
      </c>
    </row>
    <row r="6" spans="1:16" ht="33.75" customHeight="1">
      <c r="A6" s="98" t="s">
        <v>157</v>
      </c>
      <c r="B6" s="161" t="s">
        <v>60</v>
      </c>
      <c r="C6" s="99"/>
      <c r="D6" s="101"/>
      <c r="E6" s="98" t="s">
        <v>157</v>
      </c>
      <c r="F6" s="100" t="s">
        <v>60</v>
      </c>
      <c r="G6" s="99"/>
      <c r="H6" s="162"/>
      <c r="I6" s="98" t="s">
        <v>157</v>
      </c>
      <c r="J6" s="161" t="s">
        <v>60</v>
      </c>
      <c r="K6" s="99"/>
      <c r="L6" s="101"/>
      <c r="M6" s="102" t="s">
        <v>157</v>
      </c>
      <c r="N6" s="100" t="s">
        <v>60</v>
      </c>
      <c r="O6" s="99"/>
      <c r="P6" s="101"/>
    </row>
    <row r="7" spans="1:16" ht="33.75" customHeight="1">
      <c r="A7" s="89" t="s">
        <v>156</v>
      </c>
      <c r="B7" s="212" t="s">
        <v>125</v>
      </c>
      <c r="C7" s="194">
        <f>cat_km*133.5%</f>
        <v>0.25958333333333333</v>
      </c>
      <c r="D7" s="72">
        <f>(z_travail*75%)+fc_repos</f>
        <v>151</v>
      </c>
      <c r="E7" s="89" t="s">
        <v>156</v>
      </c>
      <c r="F7" s="96" t="s">
        <v>192</v>
      </c>
      <c r="G7" s="97">
        <f>cat_vitesse*30</f>
        <v>107.14285714285715</v>
      </c>
      <c r="H7" s="72">
        <f>fc_x</f>
        <v>183.2</v>
      </c>
      <c r="I7" s="89" t="s">
        <v>156</v>
      </c>
      <c r="J7" s="212" t="s">
        <v>197</v>
      </c>
      <c r="K7" s="194">
        <f>cat_km*133.5%</f>
        <v>0.25958333333333333</v>
      </c>
      <c r="L7" s="72">
        <f>(z_travail*75%)+fc_repos</f>
        <v>151</v>
      </c>
      <c r="M7" s="103" t="s">
        <v>156</v>
      </c>
      <c r="N7" s="96" t="s">
        <v>193</v>
      </c>
      <c r="O7" s="97">
        <f>cat_vitesse*20</f>
        <v>71.42857142857143</v>
      </c>
      <c r="P7" s="72">
        <f>fc_x</f>
        <v>183.2</v>
      </c>
    </row>
    <row r="8" spans="1:16" ht="33.75" customHeight="1">
      <c r="A8" s="89" t="s">
        <v>151</v>
      </c>
      <c r="B8" s="158" t="s">
        <v>60</v>
      </c>
      <c r="C8" s="75"/>
      <c r="D8" s="72"/>
      <c r="E8" s="89" t="s">
        <v>151</v>
      </c>
      <c r="F8" s="95" t="s">
        <v>60</v>
      </c>
      <c r="G8" s="75"/>
      <c r="H8" s="163"/>
      <c r="I8" s="89" t="s">
        <v>151</v>
      </c>
      <c r="J8" s="158" t="s">
        <v>60</v>
      </c>
      <c r="K8" s="75"/>
      <c r="L8" s="72"/>
      <c r="M8" s="103" t="s">
        <v>151</v>
      </c>
      <c r="N8" s="95" t="s">
        <v>60</v>
      </c>
      <c r="O8" s="75"/>
      <c r="P8" s="72"/>
    </row>
    <row r="9" spans="1:16" ht="33.75" customHeight="1">
      <c r="A9" s="89" t="s">
        <v>155</v>
      </c>
      <c r="B9" s="212" t="s">
        <v>20</v>
      </c>
      <c r="C9" s="194">
        <f>cat_km*133.5%</f>
        <v>0.25958333333333333</v>
      </c>
      <c r="D9" s="72">
        <f>(z_travail*75%)+fc_repos</f>
        <v>151</v>
      </c>
      <c r="E9" s="89" t="s">
        <v>155</v>
      </c>
      <c r="F9" s="213" t="s">
        <v>125</v>
      </c>
      <c r="G9" s="194">
        <f>cat_km*133.5%</f>
        <v>0.25958333333333333</v>
      </c>
      <c r="H9" s="72">
        <f>(z_travail*75%)+fc_repos</f>
        <v>151</v>
      </c>
      <c r="I9" s="89" t="s">
        <v>155</v>
      </c>
      <c r="J9" s="204" t="s">
        <v>211</v>
      </c>
      <c r="K9" s="194">
        <f>((cat_km*83%)/1000)*200</f>
        <v>0.03227777777777778</v>
      </c>
      <c r="L9" s="72">
        <f>fc_200</f>
        <v>183.2</v>
      </c>
      <c r="M9" s="103" t="s">
        <v>155</v>
      </c>
      <c r="N9" s="213" t="s">
        <v>125</v>
      </c>
      <c r="O9" s="194">
        <f>cat_km*133.5%</f>
        <v>0.25958333333333333</v>
      </c>
      <c r="P9" s="72">
        <f>(z_travail*75%)+fc_repos</f>
        <v>151</v>
      </c>
    </row>
    <row r="10" spans="1:16" ht="33.75" customHeight="1">
      <c r="A10" s="89" t="s">
        <v>152</v>
      </c>
      <c r="B10" s="158" t="s">
        <v>60</v>
      </c>
      <c r="C10" s="75"/>
      <c r="D10" s="72"/>
      <c r="E10" s="89" t="s">
        <v>152</v>
      </c>
      <c r="F10" s="95" t="s">
        <v>60</v>
      </c>
      <c r="G10" s="74"/>
      <c r="H10" s="164"/>
      <c r="I10" s="89" t="s">
        <v>152</v>
      </c>
      <c r="J10" s="158" t="s">
        <v>60</v>
      </c>
      <c r="K10" s="75"/>
      <c r="L10" s="72"/>
      <c r="M10" s="103" t="s">
        <v>152</v>
      </c>
      <c r="N10" s="95" t="s">
        <v>60</v>
      </c>
      <c r="O10" s="75"/>
      <c r="P10" s="72"/>
    </row>
    <row r="11" spans="1:16" ht="33.75" customHeight="1">
      <c r="A11" s="89" t="s">
        <v>153</v>
      </c>
      <c r="B11" s="158" t="s">
        <v>60</v>
      </c>
      <c r="C11" s="75"/>
      <c r="D11" s="72"/>
      <c r="E11" s="89" t="s">
        <v>153</v>
      </c>
      <c r="F11" s="95" t="s">
        <v>60</v>
      </c>
      <c r="G11" s="75"/>
      <c r="H11" s="163"/>
      <c r="I11" s="89" t="s">
        <v>153</v>
      </c>
      <c r="J11" s="158" t="s">
        <v>60</v>
      </c>
      <c r="K11" s="75"/>
      <c r="L11" s="72"/>
      <c r="M11" s="103" t="s">
        <v>153</v>
      </c>
      <c r="N11" s="95" t="s">
        <v>60</v>
      </c>
      <c r="O11" s="74"/>
      <c r="P11" s="71"/>
    </row>
    <row r="12" spans="1:16" ht="33.75" customHeight="1" thickBot="1">
      <c r="A12" s="90" t="s">
        <v>154</v>
      </c>
      <c r="B12" s="209" t="s">
        <v>233</v>
      </c>
      <c r="C12" s="76" t="str">
        <f>al_marathon</f>
        <v>03:42</v>
      </c>
      <c r="D12" s="73">
        <f>Puls</f>
        <v>165</v>
      </c>
      <c r="E12" s="90" t="s">
        <v>154</v>
      </c>
      <c r="F12" s="211" t="s">
        <v>232</v>
      </c>
      <c r="G12" s="76" t="str">
        <f>al_marathon</f>
        <v>03:42</v>
      </c>
      <c r="H12" s="73">
        <f>Puls</f>
        <v>165</v>
      </c>
      <c r="I12" s="90" t="s">
        <v>154</v>
      </c>
      <c r="J12" s="209" t="s">
        <v>231</v>
      </c>
      <c r="K12" s="76" t="str">
        <f>al_marathon</f>
        <v>03:42</v>
      </c>
      <c r="L12" s="73">
        <f>Puls</f>
        <v>165</v>
      </c>
      <c r="M12" s="104" t="s">
        <v>154</v>
      </c>
      <c r="N12" s="211" t="s">
        <v>230</v>
      </c>
      <c r="O12" s="76" t="str">
        <f>al_marathon</f>
        <v>03:42</v>
      </c>
      <c r="P12" s="73">
        <f>Puls</f>
        <v>165</v>
      </c>
    </row>
    <row r="13" spans="1:2" ht="33.75" customHeight="1">
      <c r="A13" s="237" t="s">
        <v>290</v>
      </c>
      <c r="B13" s="236" t="s">
        <v>291</v>
      </c>
    </row>
    <row r="18" ht="33.75" customHeight="1" thickBot="1"/>
    <row r="19" spans="1:16" ht="33.75" customHeight="1" thickBot="1">
      <c r="A19" s="91"/>
      <c r="B19" s="363" t="s">
        <v>64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92"/>
      <c r="P19" s="93"/>
    </row>
    <row r="20" spans="1:16" ht="33.75" customHeight="1" thickBot="1">
      <c r="A20" s="153"/>
      <c r="B20" s="154" t="str">
        <f>"semaine du "&amp;TEXT(mdate-55,"jj/mm")&amp;" au "&amp;TEXT(mdate-49,"jj/mm")</f>
        <v>semaine du 15/03 au 21/03</v>
      </c>
      <c r="C20" s="157"/>
      <c r="D20" s="155"/>
      <c r="E20" s="153"/>
      <c r="F20" s="154" t="str">
        <f>"semaine du "&amp;TEXT(mdate-48,"jj/mm")&amp;" au "&amp;TEXT(mdate-42,"jj/mm")</f>
        <v>semaine du 22/03 au 28/03</v>
      </c>
      <c r="G20" s="157"/>
      <c r="H20" s="155"/>
      <c r="I20" s="153"/>
      <c r="J20" s="154" t="str">
        <f>"semaine du "&amp;TEXT(mdate-41,"jj/mm")&amp;" au "&amp;TEXT(mdate-35,"jj/mm")</f>
        <v>semaine du 29/03 au 04/04</v>
      </c>
      <c r="K20" s="152"/>
      <c r="L20" s="155"/>
      <c r="M20" s="153"/>
      <c r="N20" s="154" t="str">
        <f>"semaine du "&amp;TEXT(mdate-34,"jj/mm")&amp;" au "&amp;TEXT(mdate-28,"jj/mm")</f>
        <v>semaine du 05/04 au 11/04</v>
      </c>
      <c r="O20" s="152"/>
      <c r="P20" s="155"/>
    </row>
    <row r="21" spans="1:16" ht="33.75" customHeight="1">
      <c r="A21" s="98" t="s">
        <v>157</v>
      </c>
      <c r="B21" s="161" t="s">
        <v>60</v>
      </c>
      <c r="C21" s="99"/>
      <c r="D21" s="101"/>
      <c r="E21" s="102" t="s">
        <v>157</v>
      </c>
      <c r="F21" s="161" t="s">
        <v>60</v>
      </c>
      <c r="G21" s="183"/>
      <c r="H21" s="191"/>
      <c r="I21" s="98" t="s">
        <v>157</v>
      </c>
      <c r="J21" s="161" t="s">
        <v>60</v>
      </c>
      <c r="K21" s="99"/>
      <c r="L21" s="101"/>
      <c r="M21" s="102" t="s">
        <v>157</v>
      </c>
      <c r="N21" s="161" t="s">
        <v>60</v>
      </c>
      <c r="O21" s="99"/>
      <c r="P21" s="101"/>
    </row>
    <row r="22" spans="1:16" ht="33.75" customHeight="1">
      <c r="A22" s="89" t="s">
        <v>156</v>
      </c>
      <c r="B22" s="212" t="s">
        <v>197</v>
      </c>
      <c r="C22" s="194">
        <f>cat_km*133.5%</f>
        <v>0.25958333333333333</v>
      </c>
      <c r="D22" s="72">
        <f>(z_travail*75%)+fc_repos</f>
        <v>151</v>
      </c>
      <c r="E22" s="103" t="s">
        <v>156</v>
      </c>
      <c r="F22" s="182" t="s">
        <v>191</v>
      </c>
      <c r="G22" s="97">
        <f>cat_vitesse*40</f>
        <v>142.85714285714286</v>
      </c>
      <c r="H22" s="163">
        <f>fc_x</f>
        <v>183.2</v>
      </c>
      <c r="I22" s="89" t="s">
        <v>156</v>
      </c>
      <c r="J22" s="204" t="s">
        <v>210</v>
      </c>
      <c r="K22" s="194">
        <f>((cat_km)/1000)*500</f>
        <v>0.09722222222222222</v>
      </c>
      <c r="L22" s="72">
        <f>fc_500</f>
        <v>179</v>
      </c>
      <c r="M22" s="103" t="s">
        <v>156</v>
      </c>
      <c r="N22" s="182" t="s">
        <v>190</v>
      </c>
      <c r="O22" s="97">
        <f>cat_vitesse*15</f>
        <v>53.57142857142858</v>
      </c>
      <c r="P22" s="72">
        <f>fc_x</f>
        <v>183.2</v>
      </c>
    </row>
    <row r="23" spans="1:16" ht="33.75" customHeight="1">
      <c r="A23" s="89" t="s">
        <v>151</v>
      </c>
      <c r="B23" s="158" t="s">
        <v>60</v>
      </c>
      <c r="C23" s="75"/>
      <c r="D23" s="72"/>
      <c r="E23" s="103" t="s">
        <v>151</v>
      </c>
      <c r="F23" s="158" t="s">
        <v>60</v>
      </c>
      <c r="G23" s="75"/>
      <c r="H23" s="163"/>
      <c r="I23" s="89" t="s">
        <v>151</v>
      </c>
      <c r="J23" s="158" t="s">
        <v>60</v>
      </c>
      <c r="K23" s="75"/>
      <c r="L23" s="72"/>
      <c r="M23" s="103" t="s">
        <v>151</v>
      </c>
      <c r="N23" s="158" t="s">
        <v>60</v>
      </c>
      <c r="O23" s="75"/>
      <c r="P23" s="72"/>
    </row>
    <row r="24" spans="1:16" ht="33.75" customHeight="1">
      <c r="A24" s="89" t="s">
        <v>155</v>
      </c>
      <c r="B24" s="210" t="s">
        <v>196</v>
      </c>
      <c r="C24" s="75" t="str">
        <f>al_marathon</f>
        <v>03:42</v>
      </c>
      <c r="D24" s="72">
        <f>Puls</f>
        <v>165</v>
      </c>
      <c r="E24" s="103" t="s">
        <v>155</v>
      </c>
      <c r="F24" s="212" t="s">
        <v>197</v>
      </c>
      <c r="G24" s="194">
        <f>cat_km*133.5%</f>
        <v>0.25958333333333333</v>
      </c>
      <c r="H24" s="163">
        <f>(z_travail*75%)+fc_repos</f>
        <v>151</v>
      </c>
      <c r="I24" s="89" t="s">
        <v>155</v>
      </c>
      <c r="J24" s="217" t="s">
        <v>198</v>
      </c>
      <c r="K24" s="194">
        <f>cat_km*143%</f>
        <v>0.27805555555555556</v>
      </c>
      <c r="L24" s="72">
        <f>(z_travail*70%)+fc_repos</f>
        <v>144</v>
      </c>
      <c r="M24" s="103" t="s">
        <v>155</v>
      </c>
      <c r="N24" s="212" t="s">
        <v>197</v>
      </c>
      <c r="O24" s="194">
        <f>cat_km*133.5%</f>
        <v>0.25958333333333333</v>
      </c>
      <c r="P24" s="72">
        <f>(z_travail*75%)+fc_repos</f>
        <v>151</v>
      </c>
    </row>
    <row r="25" spans="1:16" ht="33.75" customHeight="1">
      <c r="A25" s="89" t="s">
        <v>152</v>
      </c>
      <c r="B25" s="158" t="s">
        <v>60</v>
      </c>
      <c r="C25" s="75"/>
      <c r="D25" s="72"/>
      <c r="E25" s="103" t="s">
        <v>152</v>
      </c>
      <c r="F25" s="158" t="s">
        <v>60</v>
      </c>
      <c r="G25" s="75"/>
      <c r="H25" s="163"/>
      <c r="I25" s="89" t="s">
        <v>152</v>
      </c>
      <c r="J25" s="158" t="s">
        <v>60</v>
      </c>
      <c r="K25" s="75"/>
      <c r="L25" s="72"/>
      <c r="M25" s="103" t="s">
        <v>152</v>
      </c>
      <c r="N25" s="158" t="s">
        <v>60</v>
      </c>
      <c r="O25" s="75"/>
      <c r="P25" s="72"/>
    </row>
    <row r="26" spans="1:16" ht="33.75" customHeight="1" thickBot="1">
      <c r="A26" s="89" t="s">
        <v>153</v>
      </c>
      <c r="B26" s="158" t="s">
        <v>60</v>
      </c>
      <c r="C26" s="75"/>
      <c r="D26" s="72"/>
      <c r="E26" s="103" t="s">
        <v>153</v>
      </c>
      <c r="F26" s="158" t="s">
        <v>60</v>
      </c>
      <c r="G26" s="75"/>
      <c r="H26" s="163"/>
      <c r="I26" s="165" t="s">
        <v>153</v>
      </c>
      <c r="J26" s="185" t="s">
        <v>60</v>
      </c>
      <c r="K26" s="186"/>
      <c r="L26" s="105"/>
      <c r="M26" s="103" t="s">
        <v>153</v>
      </c>
      <c r="N26" s="158" t="s">
        <v>60</v>
      </c>
      <c r="O26" s="75"/>
      <c r="P26" s="72"/>
    </row>
    <row r="27" spans="1:16" ht="33.75" customHeight="1" thickBot="1">
      <c r="A27" s="90" t="s">
        <v>154</v>
      </c>
      <c r="B27" s="209" t="s">
        <v>225</v>
      </c>
      <c r="C27" s="76" t="str">
        <f>al_marathon</f>
        <v>03:42</v>
      </c>
      <c r="D27" s="73">
        <f>Puls</f>
        <v>165</v>
      </c>
      <c r="E27" s="104" t="s">
        <v>154</v>
      </c>
      <c r="F27" s="209" t="s">
        <v>226</v>
      </c>
      <c r="G27" s="76" t="str">
        <f>al_marathon</f>
        <v>03:42</v>
      </c>
      <c r="H27" s="181">
        <f>Puls</f>
        <v>165</v>
      </c>
      <c r="I27" s="166" t="s">
        <v>154</v>
      </c>
      <c r="J27" s="173" t="s">
        <v>187</v>
      </c>
      <c r="K27" s="192" t="str">
        <f>al_marathon</f>
        <v>03:42</v>
      </c>
      <c r="L27" s="190">
        <f>Puls</f>
        <v>165</v>
      </c>
      <c r="M27" s="104" t="s">
        <v>154</v>
      </c>
      <c r="N27" s="209" t="s">
        <v>227</v>
      </c>
      <c r="O27" s="76" t="str">
        <f>al_marathon</f>
        <v>03:42</v>
      </c>
      <c r="P27" s="73">
        <f>Puls</f>
        <v>165</v>
      </c>
    </row>
    <row r="28" spans="1:13" ht="33.75" customHeight="1">
      <c r="A28" s="42"/>
      <c r="B28" s="42"/>
      <c r="C28" s="43"/>
      <c r="D28" s="44"/>
      <c r="E28" s="42"/>
      <c r="F28" s="42"/>
      <c r="G28" s="45"/>
      <c r="H28" s="44"/>
      <c r="I28" s="42"/>
      <c r="J28" s="46"/>
      <c r="K28" s="45"/>
      <c r="L28" s="44"/>
      <c r="M28" s="42"/>
    </row>
    <row r="29" spans="1:13" ht="33.75" customHeight="1">
      <c r="A29" s="42"/>
      <c r="B29" s="42"/>
      <c r="C29" s="43"/>
      <c r="D29" s="44"/>
      <c r="E29" s="42"/>
      <c r="F29" s="42"/>
      <c r="G29" s="45"/>
      <c r="H29" s="44"/>
      <c r="I29" s="42"/>
      <c r="J29" s="46"/>
      <c r="K29" s="45"/>
      <c r="L29" s="44"/>
      <c r="M29" s="42"/>
    </row>
    <row r="30" spans="1:13" ht="33.75" customHeight="1">
      <c r="A30" s="42"/>
      <c r="B30" s="42"/>
      <c r="C30" s="43"/>
      <c r="D30" s="44"/>
      <c r="E30" s="42"/>
      <c r="F30" s="42"/>
      <c r="G30" s="45"/>
      <c r="H30" s="44"/>
      <c r="I30" s="42"/>
      <c r="J30" s="46"/>
      <c r="K30" s="45"/>
      <c r="L30" s="44"/>
      <c r="M30" s="42"/>
    </row>
    <row r="31" spans="1:13" ht="33.75" customHeight="1">
      <c r="A31" s="42"/>
      <c r="B31" s="42"/>
      <c r="C31" s="43"/>
      <c r="D31" s="44"/>
      <c r="E31" s="42"/>
      <c r="F31" s="42"/>
      <c r="G31" s="45"/>
      <c r="H31" s="44"/>
      <c r="I31" s="42"/>
      <c r="J31" s="46"/>
      <c r="K31" s="45"/>
      <c r="L31" s="44"/>
      <c r="M31" s="42"/>
    </row>
    <row r="32" spans="1:13" ht="33.75" customHeight="1">
      <c r="A32" s="42"/>
      <c r="B32" s="42"/>
      <c r="C32" s="43"/>
      <c r="D32" s="44"/>
      <c r="E32" s="42"/>
      <c r="F32" s="42"/>
      <c r="G32" s="45"/>
      <c r="H32" s="44"/>
      <c r="I32" s="42"/>
      <c r="J32" s="46"/>
      <c r="K32" s="45"/>
      <c r="L32" s="44"/>
      <c r="M32" s="42"/>
    </row>
    <row r="33" ht="33.75" customHeight="1" thickBot="1"/>
    <row r="34" spans="1:16" ht="33.75" customHeight="1" thickBot="1">
      <c r="A34" s="91"/>
      <c r="B34" s="363" t="s">
        <v>158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92"/>
      <c r="P34" s="93"/>
    </row>
    <row r="35" spans="1:16" ht="33.75" customHeight="1" thickBot="1">
      <c r="A35" s="153"/>
      <c r="B35" s="154" t="str">
        <f>"semaine du "&amp;TEXT(mdate-27,"jj/mm")&amp;" au "&amp;TEXT(mdate-21,"jj/mm")</f>
        <v>semaine du 12/04 au 18/04</v>
      </c>
      <c r="C35" s="157"/>
      <c r="D35" s="155"/>
      <c r="E35" s="153"/>
      <c r="F35" s="154" t="str">
        <f>"semaine du "&amp;TEXT(mdate-20,"jj/mm")&amp;" au "&amp;TEXT(mdate-14,"jj/mm")</f>
        <v>semaine du 19/04 au 25/04</v>
      </c>
      <c r="G35" s="157"/>
      <c r="H35" s="155"/>
      <c r="I35" s="153"/>
      <c r="J35" s="154" t="str">
        <f>"semaine du "&amp;TEXT(mdate-13,"jj/mm")&amp;" au "&amp;TEXT(mdate-7,"jj/mm")</f>
        <v>semaine du 26/04 au 02/05</v>
      </c>
      <c r="K35" s="152"/>
      <c r="L35" s="155"/>
      <c r="M35" s="153"/>
      <c r="N35" s="154" t="str">
        <f>"semaine du "&amp;TEXT(mdate-6,"jj/mm")&amp;" au "&amp;TEXT(mdate,"jj/mm")</f>
        <v>semaine du 03/05 au 09/05</v>
      </c>
      <c r="O35" s="152"/>
      <c r="P35" s="155"/>
    </row>
    <row r="36" spans="1:16" ht="33.75" customHeight="1">
      <c r="A36" s="98" t="s">
        <v>157</v>
      </c>
      <c r="B36" s="161" t="s">
        <v>60</v>
      </c>
      <c r="C36" s="99"/>
      <c r="D36" s="162"/>
      <c r="E36" s="98" t="s">
        <v>157</v>
      </c>
      <c r="F36" s="161" t="s">
        <v>60</v>
      </c>
      <c r="G36" s="99"/>
      <c r="H36" s="101"/>
      <c r="I36" s="98" t="s">
        <v>157</v>
      </c>
      <c r="J36" s="161" t="s">
        <v>60</v>
      </c>
      <c r="K36" s="99"/>
      <c r="L36" s="101"/>
      <c r="M36" s="102" t="s">
        <v>157</v>
      </c>
      <c r="N36" s="161" t="s">
        <v>60</v>
      </c>
      <c r="O36" s="99"/>
      <c r="P36" s="101"/>
    </row>
    <row r="37" spans="1:16" ht="33.75" customHeight="1">
      <c r="A37" s="89" t="s">
        <v>156</v>
      </c>
      <c r="B37" s="158" t="s">
        <v>60</v>
      </c>
      <c r="C37" s="97"/>
      <c r="D37" s="163"/>
      <c r="E37" s="89" t="s">
        <v>156</v>
      </c>
      <c r="F37" s="160" t="s">
        <v>19</v>
      </c>
      <c r="G37" s="194">
        <f>cat_km*133.5%</f>
        <v>0.25958333333333333</v>
      </c>
      <c r="H37" s="72">
        <f>(z_travail*75%)+fc_repos</f>
        <v>151</v>
      </c>
      <c r="I37" s="89" t="s">
        <v>156</v>
      </c>
      <c r="J37" s="182" t="s">
        <v>189</v>
      </c>
      <c r="K37" s="97">
        <f>cat_vitesse*60</f>
        <v>214.2857142857143</v>
      </c>
      <c r="L37" s="72">
        <f>fc_x</f>
        <v>183.2</v>
      </c>
      <c r="M37" s="103" t="s">
        <v>156</v>
      </c>
      <c r="N37" s="158" t="s">
        <v>60</v>
      </c>
      <c r="O37" s="97"/>
      <c r="P37" s="72"/>
    </row>
    <row r="38" spans="1:16" ht="33.75" customHeight="1">
      <c r="A38" s="89" t="s">
        <v>151</v>
      </c>
      <c r="B38" s="204" t="s">
        <v>209</v>
      </c>
      <c r="C38" s="194">
        <f>((cat_km*95%)/1000)*300</f>
        <v>0.05541666666666666</v>
      </c>
      <c r="D38" s="163">
        <f>fc_300</f>
        <v>181.79999999999998</v>
      </c>
      <c r="E38" s="89" t="s">
        <v>151</v>
      </c>
      <c r="F38" s="158" t="s">
        <v>60</v>
      </c>
      <c r="G38" s="75"/>
      <c r="H38" s="72"/>
      <c r="I38" s="89" t="s">
        <v>151</v>
      </c>
      <c r="J38" s="158" t="s">
        <v>60</v>
      </c>
      <c r="K38" s="75"/>
      <c r="L38" s="72"/>
      <c r="M38" s="103" t="s">
        <v>151</v>
      </c>
      <c r="N38" s="204" t="s">
        <v>195</v>
      </c>
      <c r="O38" s="194">
        <f>((cat_km*95%)/1000)*300</f>
        <v>0.05541666666666666</v>
      </c>
      <c r="P38" s="72">
        <f>fc_300</f>
        <v>181.79999999999998</v>
      </c>
    </row>
    <row r="39" spans="1:16" ht="33.75" customHeight="1">
      <c r="A39" s="89" t="s">
        <v>155</v>
      </c>
      <c r="B39" s="158" t="s">
        <v>60</v>
      </c>
      <c r="C39" s="75"/>
      <c r="D39" s="163"/>
      <c r="E39" s="89" t="s">
        <v>155</v>
      </c>
      <c r="F39" s="204" t="s">
        <v>208</v>
      </c>
      <c r="G39" s="194">
        <f>((cat_km*102%)/1000)*900</f>
        <v>0.1785</v>
      </c>
      <c r="H39" s="72">
        <f>fc_900</f>
        <v>173.4</v>
      </c>
      <c r="I39" s="89" t="s">
        <v>155</v>
      </c>
      <c r="J39" s="160" t="s">
        <v>19</v>
      </c>
      <c r="K39" s="194">
        <f>cat_km*133.5%</f>
        <v>0.25958333333333333</v>
      </c>
      <c r="L39" s="72">
        <f>(z_travail*75%)+fc_repos</f>
        <v>151</v>
      </c>
      <c r="M39" s="103" t="s">
        <v>155</v>
      </c>
      <c r="N39" s="158" t="s">
        <v>60</v>
      </c>
      <c r="O39" s="75"/>
      <c r="P39" s="72"/>
    </row>
    <row r="40" spans="1:16" ht="33.75" customHeight="1">
      <c r="A40" s="89" t="s">
        <v>152</v>
      </c>
      <c r="B40" s="217" t="s">
        <v>194</v>
      </c>
      <c r="C40" s="194">
        <f>cat_km*143%</f>
        <v>0.27805555555555556</v>
      </c>
      <c r="D40" s="72">
        <f>(z_travail*70%)+fc_repos</f>
        <v>144</v>
      </c>
      <c r="E40" s="89" t="s">
        <v>152</v>
      </c>
      <c r="F40" s="158" t="s">
        <v>60</v>
      </c>
      <c r="G40" s="75"/>
      <c r="H40" s="72"/>
      <c r="I40" s="89" t="s">
        <v>152</v>
      </c>
      <c r="J40" s="158" t="s">
        <v>60</v>
      </c>
      <c r="K40" s="75"/>
      <c r="L40" s="72"/>
      <c r="M40" s="103" t="s">
        <v>152</v>
      </c>
      <c r="N40" s="217" t="s">
        <v>194</v>
      </c>
      <c r="O40" s="194">
        <f>cat_km*143%</f>
        <v>0.27805555555555556</v>
      </c>
      <c r="P40" s="72">
        <f>(z_travail*70%)+fc_repos</f>
        <v>144</v>
      </c>
    </row>
    <row r="41" spans="1:16" ht="33.75" customHeight="1" thickBot="1">
      <c r="A41" s="165" t="s">
        <v>153</v>
      </c>
      <c r="B41" s="185" t="s">
        <v>60</v>
      </c>
      <c r="C41" s="200"/>
      <c r="D41" s="187"/>
      <c r="E41" s="89" t="s">
        <v>153</v>
      </c>
      <c r="F41" s="158" t="s">
        <v>60</v>
      </c>
      <c r="G41" s="75"/>
      <c r="H41" s="72"/>
      <c r="I41" s="89" t="s">
        <v>153</v>
      </c>
      <c r="J41" s="158" t="s">
        <v>60</v>
      </c>
      <c r="K41" s="75"/>
      <c r="L41" s="72"/>
      <c r="M41" s="177" t="s">
        <v>153</v>
      </c>
      <c r="N41" s="185" t="s">
        <v>60</v>
      </c>
      <c r="O41" s="200"/>
      <c r="P41" s="105"/>
    </row>
    <row r="42" spans="1:16" ht="33.75" customHeight="1" thickBot="1">
      <c r="A42" s="166" t="s">
        <v>154</v>
      </c>
      <c r="B42" s="173" t="s">
        <v>200</v>
      </c>
      <c r="C42" s="192" t="str">
        <f>al_marathon</f>
        <v>03:42</v>
      </c>
      <c r="D42" s="188">
        <f>Puls</f>
        <v>165</v>
      </c>
      <c r="E42" s="90" t="s">
        <v>154</v>
      </c>
      <c r="F42" s="209" t="s">
        <v>229</v>
      </c>
      <c r="G42" s="76" t="str">
        <f>al_marathon</f>
        <v>03:42</v>
      </c>
      <c r="H42" s="73">
        <f>Puls</f>
        <v>165</v>
      </c>
      <c r="I42" s="90" t="s">
        <v>154</v>
      </c>
      <c r="J42" s="209" t="s">
        <v>228</v>
      </c>
      <c r="K42" s="76" t="str">
        <f>al_marathon</f>
        <v>03:42</v>
      </c>
      <c r="L42" s="73">
        <f>Puls</f>
        <v>165</v>
      </c>
      <c r="M42" s="178" t="s">
        <v>154</v>
      </c>
      <c r="N42" s="167" t="s">
        <v>186</v>
      </c>
      <c r="O42" s="168">
        <f>objectif</f>
        <v>0.025694444444444447</v>
      </c>
      <c r="P42" s="169">
        <f>Puls</f>
        <v>165</v>
      </c>
    </row>
  </sheetData>
  <sheetProtection password="F7AF" sheet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8:G35"/>
  <sheetViews>
    <sheetView workbookViewId="0" topLeftCell="A1">
      <selection activeCell="E4" sqref="E4"/>
    </sheetView>
  </sheetViews>
  <sheetFormatPr defaultColWidth="11.421875" defaultRowHeight="12.75"/>
  <cols>
    <col min="1" max="1" width="12.421875" style="0" bestFit="1" customWidth="1"/>
    <col min="2" max="2" width="29.140625" style="0" bestFit="1" customWidth="1"/>
    <col min="3" max="4" width="18.421875" style="0" bestFit="1" customWidth="1"/>
  </cols>
  <sheetData>
    <row r="7" ht="13.5" thickBot="1"/>
    <row r="8" spans="1:6" ht="13.5" customHeight="1" thickBot="1">
      <c r="A8" s="371" t="s">
        <v>70</v>
      </c>
      <c r="B8" s="372"/>
      <c r="C8" s="372"/>
      <c r="D8" s="372"/>
      <c r="E8" s="372"/>
      <c r="F8" s="373"/>
    </row>
    <row r="9" spans="1:6" ht="14.25" customHeight="1" thickBot="1" thickTop="1">
      <c r="A9" s="110"/>
      <c r="B9" s="111"/>
      <c r="C9" s="368" t="s">
        <v>71</v>
      </c>
      <c r="D9" s="370"/>
      <c r="E9" s="368" t="s">
        <v>72</v>
      </c>
      <c r="F9" s="369"/>
    </row>
    <row r="10" spans="1:6" ht="12.75" thickTop="1">
      <c r="A10" s="112" t="s">
        <v>74</v>
      </c>
      <c r="B10" s="113">
        <f>fc_repos</f>
        <v>46</v>
      </c>
      <c r="C10" s="114" t="s">
        <v>75</v>
      </c>
      <c r="D10" s="115">
        <f>100/(v_vma+(0.5*0.9))</f>
        <v>222.22222222222223</v>
      </c>
      <c r="E10" s="116" t="s">
        <v>76</v>
      </c>
      <c r="F10" s="117">
        <v>0.00034722222222222224</v>
      </c>
    </row>
    <row r="11" spans="1:6" ht="12">
      <c r="A11" s="118" t="s">
        <v>79</v>
      </c>
      <c r="B11" s="113">
        <f>fc_repos+(z_travail*((100-(200/dist_vma_min))/100))</f>
        <v>183.2</v>
      </c>
      <c r="C11" s="119" t="s">
        <v>80</v>
      </c>
      <c r="D11" s="120">
        <f>200/(v_vma+(0.5*0.8))</f>
        <v>500</v>
      </c>
      <c r="E11" s="121" t="s">
        <v>81</v>
      </c>
      <c r="F11" s="122">
        <v>0.0004050925925925926</v>
      </c>
    </row>
    <row r="12" spans="1:6" ht="12">
      <c r="A12" s="118" t="s">
        <v>127</v>
      </c>
      <c r="B12" s="113">
        <f>fc_repos+(z_travail*((100-(300/dist_vma_min))/100))</f>
        <v>181.79999999999998</v>
      </c>
      <c r="C12" s="119" t="s">
        <v>83</v>
      </c>
      <c r="D12" s="120">
        <f>300/(v_vma+(0.5*0.7))</f>
        <v>857.1428571428572</v>
      </c>
      <c r="E12" s="121" t="s">
        <v>84</v>
      </c>
      <c r="F12" s="122">
        <v>0.0005787037037037038</v>
      </c>
    </row>
    <row r="13" spans="1:6" ht="12">
      <c r="A13" s="118" t="s">
        <v>82</v>
      </c>
      <c r="B13" s="113">
        <f>fc_repos+(z_travail*((100-(400/dist_vma_min))/100))</f>
        <v>180.4</v>
      </c>
      <c r="C13" s="119" t="s">
        <v>87</v>
      </c>
      <c r="D13" s="120">
        <f>400/(v_vma+(0.5*0.6))</f>
        <v>1333.3333333333335</v>
      </c>
      <c r="E13" s="121" t="s">
        <v>88</v>
      </c>
      <c r="F13" s="122">
        <v>0.0006944444444444445</v>
      </c>
    </row>
    <row r="14" spans="1:6" ht="12">
      <c r="A14" s="118" t="s">
        <v>86</v>
      </c>
      <c r="B14" s="113">
        <f>fc_repos+(z_travail*((100-(500/dist_vma_min))/100))</f>
        <v>179</v>
      </c>
      <c r="C14" s="119" t="s">
        <v>90</v>
      </c>
      <c r="D14" s="120">
        <f>500/(v_vma+(0.5*0.5))</f>
        <v>2000</v>
      </c>
      <c r="E14" s="121" t="s">
        <v>91</v>
      </c>
      <c r="F14" s="122">
        <v>0.0006944444444444445</v>
      </c>
    </row>
    <row r="15" spans="1:6" ht="12">
      <c r="A15" s="118" t="s">
        <v>128</v>
      </c>
      <c r="B15" s="113">
        <f>fc_repos+(z_travail*((100-(800/dist_vma_min))/100))</f>
        <v>174.8</v>
      </c>
      <c r="C15" s="119" t="s">
        <v>94</v>
      </c>
      <c r="D15" s="120" t="e">
        <f>1000/v_vma</f>
        <v>#DIV/0!</v>
      </c>
      <c r="E15" s="121" t="s">
        <v>95</v>
      </c>
      <c r="F15" s="122">
        <v>0.0010416666666666667</v>
      </c>
    </row>
    <row r="16" spans="1:6" ht="12">
      <c r="A16" s="118" t="s">
        <v>129</v>
      </c>
      <c r="B16" s="113">
        <f>fc_repos+(z_travail*((100-(1200/dist_vma_min))/100))</f>
        <v>169.2</v>
      </c>
      <c r="C16" s="119" t="s">
        <v>253</v>
      </c>
      <c r="D16" s="171">
        <f>fc_repos+(z_travail*k_vma*k_marat)*rapport</f>
        <v>204.9189189189189</v>
      </c>
      <c r="E16" s="121"/>
      <c r="F16" s="122"/>
    </row>
    <row r="17" spans="1:6" ht="12">
      <c r="A17" s="118" t="s">
        <v>89</v>
      </c>
      <c r="B17" s="113">
        <f>fc_repos+(z_travail*k_vma*k_semi)</f>
        <v>153.1</v>
      </c>
      <c r="C17" s="119" t="s">
        <v>254</v>
      </c>
      <c r="D17" s="125"/>
      <c r="E17" s="106"/>
      <c r="F17" s="201">
        <v>1500</v>
      </c>
    </row>
    <row r="18" spans="1:6" ht="12">
      <c r="A18" s="118" t="s">
        <v>93</v>
      </c>
      <c r="B18" s="113">
        <f>fc_max-fc_repos</f>
        <v>140</v>
      </c>
      <c r="C18" s="119" t="s">
        <v>255</v>
      </c>
      <c r="D18" s="172">
        <f>t_th_marathon/objectif</f>
        <v>1.4014014014014011</v>
      </c>
      <c r="E18" s="106"/>
      <c r="F18" s="201">
        <v>2000</v>
      </c>
    </row>
    <row r="19" spans="1:6" ht="12">
      <c r="A19" s="118" t="s">
        <v>259</v>
      </c>
      <c r="B19" s="113">
        <f>fc_repos+(z_travail*((100-(150/dist_vma_min))/100))</f>
        <v>183.9</v>
      </c>
      <c r="C19" s="119" t="s">
        <v>97</v>
      </c>
      <c r="D19" s="122">
        <f>seuil*3</f>
        <v>0.007708333333333334</v>
      </c>
      <c r="E19" s="121"/>
      <c r="F19" s="123"/>
    </row>
    <row r="20" spans="1:6" ht="12">
      <c r="A20" s="118" t="s">
        <v>96</v>
      </c>
      <c r="B20" s="124">
        <f>IF(D_test=2000,0.88,0.9)</f>
        <v>0.9</v>
      </c>
      <c r="C20" s="119" t="s">
        <v>100</v>
      </c>
      <c r="D20" s="122">
        <f>seuil*4</f>
        <v>0.01027777777777778</v>
      </c>
      <c r="E20" s="121"/>
      <c r="F20" s="123"/>
    </row>
    <row r="21" spans="1:6" ht="12">
      <c r="A21" s="118" t="s">
        <v>99</v>
      </c>
      <c r="B21" s="124">
        <f>IF(D_test=2000,0.88,0.9)</f>
        <v>0.9</v>
      </c>
      <c r="C21" s="119" t="s">
        <v>103</v>
      </c>
      <c r="D21" s="120">
        <f>dist_vma/(v_vma+(0.5*((1000-dist_vma)/1000)))</f>
        <v>500</v>
      </c>
      <c r="E21" s="121"/>
      <c r="F21" s="123"/>
    </row>
    <row r="22" spans="1:6" ht="12">
      <c r="A22" s="118" t="s">
        <v>102</v>
      </c>
      <c r="B22" s="124">
        <f>IF(D_test=2000,0.78,0.8)</f>
        <v>0.8</v>
      </c>
      <c r="C22" s="119" t="s">
        <v>261</v>
      </c>
      <c r="D22" s="113">
        <f>fc_repos+(z_travail*((100-(900/dist_vma_min))/100))</f>
        <v>173.4</v>
      </c>
      <c r="E22" s="121"/>
      <c r="F22" s="123"/>
    </row>
    <row r="23" spans="1:6" ht="12">
      <c r="A23" s="118" t="s">
        <v>260</v>
      </c>
      <c r="B23" s="113">
        <f>fc_repos+(z_travail*((100-(1000/dist_vma_min))/100))</f>
        <v>172</v>
      </c>
      <c r="C23" s="119" t="s">
        <v>106</v>
      </c>
      <c r="D23" s="125">
        <f>fc_repos+(z_travail*((100-(dist_vma/dist_vma_min))/100))</f>
        <v>183.2</v>
      </c>
      <c r="E23" s="121"/>
      <c r="F23" s="123"/>
    </row>
    <row r="24" spans="1:6" ht="12">
      <c r="A24" s="118" t="s">
        <v>105</v>
      </c>
      <c r="B24" s="124">
        <v>0.7</v>
      </c>
      <c r="C24" s="119" t="s">
        <v>108</v>
      </c>
      <c r="D24" s="125">
        <f>fc_repos+(z_travail*((100-(100/dist_vma_min))/100))</f>
        <v>184.6</v>
      </c>
      <c r="E24" s="126"/>
      <c r="F24" s="123"/>
    </row>
    <row r="25" spans="1:6" ht="12">
      <c r="A25" s="118" t="s">
        <v>107</v>
      </c>
      <c r="B25" s="124">
        <v>0.9</v>
      </c>
      <c r="C25" s="119" t="s">
        <v>110</v>
      </c>
      <c r="D25" s="127">
        <f>vma_obj_km*10/k_10</f>
        <v>1.6339869281045751</v>
      </c>
      <c r="E25" s="126"/>
      <c r="F25" s="123"/>
    </row>
    <row r="26" spans="1:6" ht="12">
      <c r="A26" s="118" t="s">
        <v>109</v>
      </c>
      <c r="B26" s="124">
        <f>IF(D_test=2000,0.83,0.85)</f>
        <v>0.85</v>
      </c>
      <c r="C26" s="119" t="s">
        <v>113</v>
      </c>
      <c r="D26" s="127">
        <f>vma_obj_km/k_semi*dist_semi</f>
        <v>0.8169934640522876</v>
      </c>
      <c r="E26" s="126"/>
      <c r="F26" s="123"/>
    </row>
    <row r="27" spans="1:6" ht="12">
      <c r="A27" s="118" t="s">
        <v>112</v>
      </c>
      <c r="B27" s="124">
        <f>IF(D_test=2000,0.85,0.85)</f>
        <v>0.85</v>
      </c>
      <c r="C27" s="119" t="s">
        <v>115</v>
      </c>
      <c r="D27" s="127">
        <f>vma_obj_km/k_semi</f>
        <v>0.16339869281045752</v>
      </c>
      <c r="E27" s="126"/>
      <c r="F27" s="123"/>
    </row>
    <row r="28" spans="1:6" ht="12">
      <c r="A28" s="118" t="s">
        <v>114</v>
      </c>
      <c r="B28" s="124">
        <f>IF(D_test=2000,3.55,3.7)</f>
        <v>3.7</v>
      </c>
      <c r="C28" s="119" t="s">
        <v>117</v>
      </c>
      <c r="D28" s="127"/>
      <c r="E28" s="126"/>
      <c r="F28" s="123"/>
    </row>
    <row r="29" spans="1:6" ht="12">
      <c r="A29" s="118" t="s">
        <v>116</v>
      </c>
      <c r="B29" s="113">
        <v>100</v>
      </c>
      <c r="C29" s="119" t="s">
        <v>40</v>
      </c>
      <c r="D29" s="127">
        <f>(objectif/dist_marathon)*k_marat/k_anaero</f>
        <v>0.002569444444444445</v>
      </c>
      <c r="E29" s="126"/>
      <c r="F29" s="123"/>
    </row>
    <row r="30" spans="1:6" ht="12">
      <c r="A30" s="118" t="s">
        <v>118</v>
      </c>
      <c r="B30" s="128">
        <v>10</v>
      </c>
      <c r="C30" s="129" t="s">
        <v>257</v>
      </c>
      <c r="D30" s="189">
        <f>fc_max-fc_repos</f>
        <v>140</v>
      </c>
      <c r="E30" s="126"/>
      <c r="F30" s="123"/>
    </row>
    <row r="31" spans="1:6" ht="12">
      <c r="A31" s="118" t="s">
        <v>65</v>
      </c>
      <c r="B31" s="128">
        <f>dist_marathon/2</f>
        <v>5</v>
      </c>
      <c r="C31" s="129" t="s">
        <v>258</v>
      </c>
      <c r="D31" s="199">
        <f>(z_travail*85%)+fc_repos</f>
        <v>165</v>
      </c>
      <c r="E31" s="126"/>
      <c r="F31" s="123"/>
    </row>
    <row r="32" spans="1:6" ht="12">
      <c r="A32" s="118" t="s">
        <v>66</v>
      </c>
      <c r="B32" s="113">
        <f>IF(Etalonnage!B9=2000,2,1.5)</f>
        <v>1.5</v>
      </c>
      <c r="C32" s="129"/>
      <c r="D32" s="123"/>
      <c r="E32" s="126"/>
      <c r="F32" s="123"/>
    </row>
    <row r="33" spans="1:7" ht="12.75" thickBot="1">
      <c r="A33" s="130" t="s">
        <v>67</v>
      </c>
      <c r="B33" s="131">
        <f>IF(D_test=2000,0.87,0.89)</f>
        <v>0.89</v>
      </c>
      <c r="C33" s="107"/>
      <c r="D33" s="132"/>
      <c r="E33" s="108"/>
      <c r="F33" s="109"/>
      <c r="G33" s="2"/>
    </row>
    <row r="34" spans="1:2" ht="12.75" thickBot="1">
      <c r="A34" s="2"/>
      <c r="B34" s="2"/>
    </row>
    <row r="35" spans="1:6" ht="16.5" customHeight="1" thickBot="1" thickTop="1">
      <c r="A35" s="365" t="s">
        <v>0</v>
      </c>
      <c r="B35" s="366"/>
      <c r="C35" s="366"/>
      <c r="D35" s="366"/>
      <c r="E35" s="366"/>
      <c r="F35" s="367"/>
    </row>
    <row r="36" ht="12.75" thickTop="1"/>
  </sheetData>
  <sheetProtection password="F7AF" sheet="1"/>
  <mergeCells count="4">
    <mergeCell ref="A35:F35"/>
    <mergeCell ref="E9:F9"/>
    <mergeCell ref="C9:D9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workbookViewId="0" topLeftCell="A1">
      <selection activeCell="M23" sqref="M23"/>
    </sheetView>
  </sheetViews>
  <sheetFormatPr defaultColWidth="12.57421875" defaultRowHeight="12.75"/>
  <cols>
    <col min="1" max="1" width="16.8515625" style="0" customWidth="1"/>
    <col min="2" max="2" width="7.421875" style="0" bestFit="1" customWidth="1"/>
    <col min="3" max="4" width="7.140625" style="0" bestFit="1" customWidth="1"/>
    <col min="5" max="5" width="8.7109375" style="0" bestFit="1" customWidth="1"/>
    <col min="6" max="6" width="9.28125" style="0" bestFit="1" customWidth="1"/>
    <col min="7" max="9" width="7.140625" style="0" bestFit="1" customWidth="1"/>
    <col min="10" max="10" width="10.7109375" style="0" bestFit="1" customWidth="1"/>
    <col min="11" max="16384" width="12.421875" style="0" customWidth="1"/>
  </cols>
  <sheetData>
    <row r="6" ht="13.5" thickBot="1"/>
    <row r="7" spans="1:10" ht="20.25" thickBot="1">
      <c r="A7" s="87" t="s">
        <v>21</v>
      </c>
      <c r="B7" s="47" t="s">
        <v>22</v>
      </c>
      <c r="C7" s="48">
        <v>20.8</v>
      </c>
      <c r="D7" s="88" t="s">
        <v>23</v>
      </c>
      <c r="E7" s="13"/>
      <c r="F7" s="1"/>
      <c r="G7" s="1"/>
      <c r="H7" s="1"/>
      <c r="I7" s="1"/>
      <c r="J7" s="1"/>
    </row>
    <row r="8" spans="1:10" ht="16.5" thickBot="1">
      <c r="A8" s="13"/>
      <c r="B8" s="49"/>
      <c r="C8" s="50"/>
      <c r="D8" s="51"/>
      <c r="E8" s="13"/>
      <c r="F8" s="13"/>
      <c r="G8" s="13"/>
      <c r="H8" s="13"/>
      <c r="I8" s="13"/>
      <c r="J8" s="13"/>
    </row>
    <row r="9" spans="1:10" ht="15.75">
      <c r="A9" s="52"/>
      <c r="B9" s="378" t="s">
        <v>24</v>
      </c>
      <c r="C9" s="379"/>
      <c r="D9" s="379"/>
      <c r="E9" s="379"/>
      <c r="F9" s="379"/>
      <c r="G9" s="379"/>
      <c r="H9" s="379"/>
      <c r="I9" s="379"/>
      <c r="J9" s="380"/>
    </row>
    <row r="10" spans="1:10" ht="16.5" thickBot="1">
      <c r="A10" s="53" t="s">
        <v>25</v>
      </c>
      <c r="B10" s="381" t="s">
        <v>26</v>
      </c>
      <c r="C10" s="382"/>
      <c r="D10" s="382"/>
      <c r="E10" s="382"/>
      <c r="F10" s="382"/>
      <c r="G10" s="382"/>
      <c r="H10" s="382"/>
      <c r="I10" s="382"/>
      <c r="J10" s="383"/>
    </row>
    <row r="11" spans="1:10" ht="16.5" thickBot="1">
      <c r="A11" s="53" t="s">
        <v>27</v>
      </c>
      <c r="B11" s="84">
        <v>100</v>
      </c>
      <c r="C11" s="85">
        <v>200</v>
      </c>
      <c r="D11" s="85">
        <v>400</v>
      </c>
      <c r="E11" s="85">
        <v>600</v>
      </c>
      <c r="F11" s="85">
        <v>800</v>
      </c>
      <c r="G11" s="85">
        <v>1000</v>
      </c>
      <c r="H11" s="85">
        <v>1500</v>
      </c>
      <c r="I11" s="85">
        <v>2000</v>
      </c>
      <c r="J11" s="86">
        <v>3000</v>
      </c>
    </row>
    <row r="12" spans="1:10" ht="15">
      <c r="A12" s="54">
        <v>85</v>
      </c>
      <c r="B12" s="133">
        <f>((100*0.04167)/(C7*10*A12))</f>
        <v>0.00023569004524886877</v>
      </c>
      <c r="C12" s="134">
        <f>((200*0.04167)/(C7*10*A12))</f>
        <v>0.00047138009049773754</v>
      </c>
      <c r="D12" s="134">
        <f>((400*0.04167)/(C7*10*A12))</f>
        <v>0.0009427601809954751</v>
      </c>
      <c r="E12" s="134">
        <f>((600*0.04167)/(C7*10*A12))</f>
        <v>0.0014141402714932126</v>
      </c>
      <c r="F12" s="134">
        <f>((800*0.04167)/(C7*10*A12))</f>
        <v>0.0018855203619909501</v>
      </c>
      <c r="G12" s="134">
        <f>((1000*0.04167)/(C7*10*A12))</f>
        <v>0.002356900452488688</v>
      </c>
      <c r="H12" s="134">
        <f>((1500*0.04167)/(C7*10*A12))</f>
        <v>0.0035353506787330316</v>
      </c>
      <c r="I12" s="134">
        <f>((2000*0.04167)/(C7*10*A12))</f>
        <v>0.004713800904977376</v>
      </c>
      <c r="J12" s="135">
        <f>((3000*0.04167)/(C7*10*A12))</f>
        <v>0.007070701357466063</v>
      </c>
    </row>
    <row r="13" spans="1:10" ht="15">
      <c r="A13" s="55">
        <v>90</v>
      </c>
      <c r="B13" s="136">
        <f>((100*0.04167)/(C7*10*A13))</f>
        <v>0.00022259615384615384</v>
      </c>
      <c r="C13" s="137">
        <f>((200*0.04167)/(C7*10*A13))</f>
        <v>0.0004451923076923077</v>
      </c>
      <c r="D13" s="137">
        <f>((400*0.04167)/(C7*10*A13))</f>
        <v>0.0008903846153846154</v>
      </c>
      <c r="E13" s="137">
        <f>((600*0.04167)/(C7*10*A13))</f>
        <v>0.001335576923076923</v>
      </c>
      <c r="F13" s="137">
        <f>((800*0.04167)/(C7*10*A13))</f>
        <v>0.0017807692307692307</v>
      </c>
      <c r="G13" s="137">
        <f>((1000*0.04167)/(C7*10*A13))</f>
        <v>0.0022259615384615386</v>
      </c>
      <c r="H13" s="137">
        <f>((1500*0.04167)/(C7*10*A13))</f>
        <v>0.0033389423076923075</v>
      </c>
      <c r="I13" s="137">
        <f>((2000*0.04167)/(C7*10*A13))</f>
        <v>0.004451923076923077</v>
      </c>
      <c r="J13" s="138">
        <f>((3000*0.04167)/(C7*10*A13))</f>
        <v>0.006677884615384615</v>
      </c>
    </row>
    <row r="14" spans="1:10" ht="15">
      <c r="A14" s="56">
        <v>95</v>
      </c>
      <c r="B14" s="136">
        <f>((100*0.04167)/(C7*10*A14))</f>
        <v>0.00021088056680161943</v>
      </c>
      <c r="C14" s="137">
        <f>((200*0.04167)/(C7*10*A14))</f>
        <v>0.00042176113360323887</v>
      </c>
      <c r="D14" s="137">
        <f>((400*0.04167)/(C7*10*A14))</f>
        <v>0.0008435222672064777</v>
      </c>
      <c r="E14" s="137">
        <f>((600*0.04167)/(C7*10*A14))</f>
        <v>0.0012652834008097164</v>
      </c>
      <c r="F14" s="137">
        <f>((800*0.04167)/(C7*10*A14))</f>
        <v>0.0016870445344129555</v>
      </c>
      <c r="G14" s="137">
        <f>((1000*0.04167)/(C7*10*A14))</f>
        <v>0.0021088056680161945</v>
      </c>
      <c r="H14" s="137">
        <f>((1500*0.04167)/(C7*10*A14))</f>
        <v>0.0031632085020242913</v>
      </c>
      <c r="I14" s="137">
        <f>((2000*0.04167)/(C7*10*A14))</f>
        <v>0.004217611336032389</v>
      </c>
      <c r="J14" s="138">
        <f>((3000*0.04167)/(C7*10*A14))</f>
        <v>0.006326417004048583</v>
      </c>
    </row>
    <row r="15" spans="1:10" ht="15">
      <c r="A15" s="57">
        <v>100</v>
      </c>
      <c r="B15" s="136">
        <f>((100*0.04167)/(C7*10*A15))</f>
        <v>0.00020033653846153845</v>
      </c>
      <c r="C15" s="137">
        <f>((200*0.04167)/(C7*10*A15))</f>
        <v>0.0004006730769230769</v>
      </c>
      <c r="D15" s="137">
        <f>((400*0.04167)/(C7*10*A15))</f>
        <v>0.0008013461538461538</v>
      </c>
      <c r="E15" s="137">
        <f>((600*0.04167)/(C7*10*A15))</f>
        <v>0.0012020192307692307</v>
      </c>
      <c r="F15" s="137">
        <f>((800*0.04167)/(C7*10*A15))</f>
        <v>0.0016026923076923076</v>
      </c>
      <c r="G15" s="137">
        <f>((1000*0.04167)/(C7*10*A15))</f>
        <v>0.0020033653846153847</v>
      </c>
      <c r="H15" s="137">
        <f>((1500*0.04167)/(C7*10*A15))</f>
        <v>0.0030050480769230766</v>
      </c>
      <c r="I15" s="137">
        <f>((2000*0.04167)/(C7*10*A15))</f>
        <v>0.004006730769230769</v>
      </c>
      <c r="J15" s="138">
        <f>((3000*0.04167)/(C7*10*A15))</f>
        <v>0.006010096153846153</v>
      </c>
    </row>
    <row r="16" spans="1:10" ht="15">
      <c r="A16" s="57">
        <v>105</v>
      </c>
      <c r="B16" s="136">
        <f>((100*0.04167)/(C7*10*A16))</f>
        <v>0.00019079670329670329</v>
      </c>
      <c r="C16" s="137">
        <f>((200*0.04167)/(C7*10*A16))</f>
        <v>0.00038159340659340657</v>
      </c>
      <c r="D16" s="137">
        <f>((400*0.04167)/(C7*10*A16))</f>
        <v>0.0007631868131868131</v>
      </c>
      <c r="E16" s="137">
        <f>((600*0.04167)/(C7*10*A16))</f>
        <v>0.0011447802197802198</v>
      </c>
      <c r="F16" s="137">
        <f>((800*0.04167)/(C7*10*A16))</f>
        <v>0.0015263736263736263</v>
      </c>
      <c r="G16" s="137">
        <f>((1000*0.04167)/(C7*10*A16))</f>
        <v>0.001907967032967033</v>
      </c>
      <c r="H16" s="137">
        <f>((1500*0.04167)/(C7*10*A16))</f>
        <v>0.002861950549450549</v>
      </c>
      <c r="I16" s="137">
        <f>((2000*0.04167)/(C7*10*A16))</f>
        <v>0.003815934065934066</v>
      </c>
      <c r="J16" s="138">
        <f>((3000*0.04167)/(C7*10*A16))</f>
        <v>0.005723901098901098</v>
      </c>
    </row>
    <row r="17" spans="1:10" ht="15.75" thickBot="1">
      <c r="A17" s="58">
        <v>110</v>
      </c>
      <c r="B17" s="139">
        <f>((100*0.04167)/(C7*10*A17))</f>
        <v>0.00018212412587412585</v>
      </c>
      <c r="C17" s="140">
        <f>((200*0.04167)/(C7*10*A17))</f>
        <v>0.0003642482517482517</v>
      </c>
      <c r="D17" s="140">
        <f>((400*0.04167)/(C7*10*A17))</f>
        <v>0.0007284965034965034</v>
      </c>
      <c r="E17" s="140">
        <f>((600*0.04167)/(C7*10*A17))</f>
        <v>0.0010927447552447553</v>
      </c>
      <c r="F17" s="140">
        <f>((800*0.04167)/(C7*10*A17))</f>
        <v>0.0014569930069930068</v>
      </c>
      <c r="G17" s="140">
        <f>((1000*0.04167)/(C7*10*A17))</f>
        <v>0.0018212412587412588</v>
      </c>
      <c r="H17" s="140">
        <f>((1500*0.04167)/(C7*10*A17))</f>
        <v>0.0027318618881118878</v>
      </c>
      <c r="I17" s="140">
        <f>((2000*0.04167)/(C7*10*A17))</f>
        <v>0.0036424825174825176</v>
      </c>
      <c r="J17" s="141">
        <f>((3000*0.04167)/(C7*10*A17))</f>
        <v>0.0054637237762237756</v>
      </c>
    </row>
    <row r="18" spans="1:10" s="1" customFormat="1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59" t="s">
        <v>28</v>
      </c>
      <c r="B19" s="60"/>
      <c r="C19" s="13"/>
      <c r="D19" s="1"/>
      <c r="E19" s="1"/>
      <c r="F19" s="1"/>
      <c r="G19" s="1"/>
      <c r="H19" s="1"/>
      <c r="I19" s="1"/>
      <c r="J19" s="1"/>
    </row>
    <row r="20" spans="1:10" ht="15.75" thickBot="1">
      <c r="A20" s="61" t="s">
        <v>29</v>
      </c>
      <c r="B20" s="62">
        <v>93</v>
      </c>
      <c r="C20" s="13"/>
      <c r="D20" s="1"/>
      <c r="E20" s="13"/>
      <c r="F20" s="13"/>
      <c r="G20" s="1"/>
      <c r="H20" s="1"/>
      <c r="I20" s="1"/>
      <c r="J20" s="1"/>
    </row>
    <row r="21" spans="1:10" ht="15.75" thickBot="1">
      <c r="A21" s="63" t="s">
        <v>30</v>
      </c>
      <c r="B21" s="64">
        <v>600</v>
      </c>
      <c r="C21" s="65" t="s">
        <v>31</v>
      </c>
      <c r="D21" s="13"/>
      <c r="E21" s="66" t="s">
        <v>32</v>
      </c>
      <c r="F21" s="94">
        <f>(B21*0.04167)/(C7*10*B20)</f>
        <v>0.0012924937965260546</v>
      </c>
      <c r="G21" s="13"/>
      <c r="H21" s="1"/>
      <c r="I21" s="1"/>
      <c r="J21" s="1"/>
    </row>
    <row r="22" spans="1:10" s="1" customFormat="1" ht="15.7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 customHeight="1" thickBot="1">
      <c r="A23" s="384"/>
      <c r="B23" s="78" t="s">
        <v>33</v>
      </c>
      <c r="C23" s="386" t="s">
        <v>264</v>
      </c>
      <c r="D23" s="387"/>
      <c r="E23" s="390" t="s">
        <v>265</v>
      </c>
      <c r="F23" s="390"/>
      <c r="G23" s="391" t="s">
        <v>34</v>
      </c>
      <c r="H23" s="392"/>
      <c r="I23" s="393"/>
      <c r="J23" s="397" t="s">
        <v>3</v>
      </c>
    </row>
    <row r="24" spans="1:10" ht="14.25" customHeight="1" thickBot="1" thickTop="1">
      <c r="A24" s="385"/>
      <c r="B24" s="79" t="s">
        <v>266</v>
      </c>
      <c r="C24" s="388"/>
      <c r="D24" s="389"/>
      <c r="E24" s="374" t="s">
        <v>35</v>
      </c>
      <c r="F24" s="374"/>
      <c r="G24" s="394"/>
      <c r="H24" s="395"/>
      <c r="I24" s="396"/>
      <c r="J24" s="398"/>
    </row>
    <row r="25" spans="1:10" ht="13.5" customHeight="1" thickBot="1">
      <c r="A25" s="399" t="s">
        <v>36</v>
      </c>
      <c r="B25" s="401" t="s">
        <v>267</v>
      </c>
      <c r="C25" s="403">
        <v>0.75</v>
      </c>
      <c r="D25" s="403"/>
      <c r="E25" s="405" t="s">
        <v>37</v>
      </c>
      <c r="F25" s="405"/>
      <c r="G25" s="407"/>
      <c r="H25" s="407"/>
      <c r="I25" s="407"/>
      <c r="J25" s="408" t="s">
        <v>38</v>
      </c>
    </row>
    <row r="26" spans="1:10" ht="13.5" customHeight="1" thickTop="1">
      <c r="A26" s="400"/>
      <c r="B26" s="402"/>
      <c r="C26" s="404"/>
      <c r="D26" s="404"/>
      <c r="E26" s="406"/>
      <c r="F26" s="406"/>
      <c r="G26" s="142">
        <v>90</v>
      </c>
      <c r="H26" s="143">
        <v>1</v>
      </c>
      <c r="I26" s="142">
        <v>105</v>
      </c>
      <c r="J26" s="409"/>
    </row>
    <row r="27" spans="1:10" ht="12.75">
      <c r="A27" s="80" t="s">
        <v>39</v>
      </c>
      <c r="B27" s="219"/>
      <c r="C27" s="375"/>
      <c r="D27" s="375"/>
      <c r="E27" s="376" t="s">
        <v>40</v>
      </c>
      <c r="F27" s="376"/>
      <c r="G27" s="377" t="s">
        <v>22</v>
      </c>
      <c r="H27" s="377"/>
      <c r="I27" s="377"/>
      <c r="J27" s="226"/>
    </row>
    <row r="28" spans="1:10" ht="25.5">
      <c r="A28" s="80" t="s">
        <v>41</v>
      </c>
      <c r="B28" s="220">
        <v>0.7</v>
      </c>
      <c r="C28" s="410">
        <v>0.8</v>
      </c>
      <c r="D28" s="410"/>
      <c r="E28" s="411">
        <v>0.9</v>
      </c>
      <c r="F28" s="411"/>
      <c r="G28" s="412" t="s">
        <v>42</v>
      </c>
      <c r="H28" s="412"/>
      <c r="I28" s="412"/>
      <c r="J28" s="227"/>
    </row>
    <row r="29" spans="1:10" ht="13.5" customHeight="1">
      <c r="A29" s="80" t="s">
        <v>43</v>
      </c>
      <c r="B29" s="221" t="s">
        <v>268</v>
      </c>
      <c r="C29" s="413" t="s">
        <v>44</v>
      </c>
      <c r="D29" s="413"/>
      <c r="E29" s="414" t="s">
        <v>45</v>
      </c>
      <c r="F29" s="414"/>
      <c r="G29" s="415" t="s">
        <v>46</v>
      </c>
      <c r="H29" s="415"/>
      <c r="I29" s="415"/>
      <c r="J29" s="228" t="s">
        <v>47</v>
      </c>
    </row>
    <row r="30" spans="1:10" ht="12.75">
      <c r="A30" s="80" t="s">
        <v>48</v>
      </c>
      <c r="B30" s="219"/>
      <c r="C30" s="375"/>
      <c r="D30" s="375"/>
      <c r="E30" s="376"/>
      <c r="F30" s="376"/>
      <c r="G30" s="421"/>
      <c r="H30" s="421"/>
      <c r="I30" s="421"/>
      <c r="J30" s="226"/>
    </row>
    <row r="31" spans="1:10" ht="12.75" customHeight="1">
      <c r="A31" s="422" t="s">
        <v>49</v>
      </c>
      <c r="B31" s="423" t="s">
        <v>269</v>
      </c>
      <c r="C31" s="424" t="s">
        <v>270</v>
      </c>
      <c r="D31" s="424"/>
      <c r="E31" s="414"/>
      <c r="F31" s="414"/>
      <c r="G31" s="425"/>
      <c r="H31" s="425"/>
      <c r="I31" s="425"/>
      <c r="J31" s="416" t="s">
        <v>50</v>
      </c>
    </row>
    <row r="32" spans="1:10" ht="12.75" customHeight="1">
      <c r="A32" s="422"/>
      <c r="B32" s="423"/>
      <c r="C32" s="424"/>
      <c r="D32" s="424"/>
      <c r="E32" s="225" t="s">
        <v>271</v>
      </c>
      <c r="F32" s="224" t="s">
        <v>272</v>
      </c>
      <c r="G32" s="144" t="s">
        <v>274</v>
      </c>
      <c r="H32" s="144" t="s">
        <v>51</v>
      </c>
      <c r="I32" s="144" t="s">
        <v>52</v>
      </c>
      <c r="J32" s="416"/>
    </row>
    <row r="33" spans="1:10" ht="12.75" customHeight="1">
      <c r="A33" s="429" t="s">
        <v>53</v>
      </c>
      <c r="B33" s="430" t="s">
        <v>54</v>
      </c>
      <c r="C33" s="413"/>
      <c r="D33" s="413"/>
      <c r="E33" s="414" t="s">
        <v>55</v>
      </c>
      <c r="F33" s="414"/>
      <c r="G33" s="415" t="s">
        <v>56</v>
      </c>
      <c r="H33" s="415"/>
      <c r="I33" s="415"/>
      <c r="J33" s="417" t="s">
        <v>57</v>
      </c>
    </row>
    <row r="34" spans="1:10" ht="12.75" customHeight="1">
      <c r="A34" s="429"/>
      <c r="B34" s="430"/>
      <c r="C34" s="222">
        <v>10</v>
      </c>
      <c r="D34" s="223">
        <v>11</v>
      </c>
      <c r="E34" s="414"/>
      <c r="F34" s="414"/>
      <c r="G34" s="415"/>
      <c r="H34" s="415"/>
      <c r="I34" s="415"/>
      <c r="J34" s="417"/>
    </row>
    <row r="35" spans="1:10" ht="13.5" customHeight="1">
      <c r="A35" s="81"/>
      <c r="B35" s="219"/>
      <c r="C35" s="436"/>
      <c r="D35" s="437"/>
      <c r="E35" s="376"/>
      <c r="F35" s="376"/>
      <c r="G35" s="377"/>
      <c r="H35" s="377"/>
      <c r="I35" s="377"/>
      <c r="J35" s="226"/>
    </row>
    <row r="36" spans="1:10" ht="12.75" customHeight="1">
      <c r="A36" s="422" t="s">
        <v>58</v>
      </c>
      <c r="B36" s="438" t="s">
        <v>273</v>
      </c>
      <c r="C36" s="439"/>
      <c r="D36" s="439"/>
      <c r="E36" s="440" t="s">
        <v>1</v>
      </c>
      <c r="F36" s="440"/>
      <c r="G36" s="425" t="s">
        <v>2</v>
      </c>
      <c r="H36" s="425"/>
      <c r="I36" s="425"/>
      <c r="J36" s="238" t="s">
        <v>3</v>
      </c>
    </row>
    <row r="37" spans="1:10" ht="12.75" customHeight="1">
      <c r="A37" s="422"/>
      <c r="B37" s="431" t="s">
        <v>4</v>
      </c>
      <c r="C37" s="432"/>
      <c r="D37" s="432"/>
      <c r="E37" s="441" t="s">
        <v>5</v>
      </c>
      <c r="F37" s="441"/>
      <c r="G37" s="421" t="s">
        <v>6</v>
      </c>
      <c r="H37" s="421"/>
      <c r="I37" s="421"/>
      <c r="J37" s="239" t="s">
        <v>7</v>
      </c>
    </row>
    <row r="38" spans="1:10" ht="21" customHeight="1" thickBot="1">
      <c r="A38" s="82" t="s">
        <v>15</v>
      </c>
      <c r="B38" s="418" t="s">
        <v>14</v>
      </c>
      <c r="C38" s="419"/>
      <c r="D38" s="419"/>
      <c r="E38" s="419"/>
      <c r="F38" s="419"/>
      <c r="G38" s="419"/>
      <c r="H38" s="419"/>
      <c r="I38" s="420"/>
      <c r="J38" s="83" t="s">
        <v>8</v>
      </c>
    </row>
    <row r="39" spans="1:10" ht="15.75" customHeight="1">
      <c r="A39" s="426" t="s">
        <v>9</v>
      </c>
      <c r="B39" s="427"/>
      <c r="C39" s="427"/>
      <c r="D39" s="427"/>
      <c r="E39" s="427"/>
      <c r="F39" s="427"/>
      <c r="G39" s="427"/>
      <c r="H39" s="427"/>
      <c r="I39" s="427"/>
      <c r="J39" s="428"/>
    </row>
    <row r="40" spans="1:10" ht="16.5" customHeight="1" thickBot="1">
      <c r="A40" s="433" t="s">
        <v>10</v>
      </c>
      <c r="B40" s="434"/>
      <c r="C40" s="434"/>
      <c r="D40" s="434"/>
      <c r="E40" s="434"/>
      <c r="F40" s="434"/>
      <c r="G40" s="434"/>
      <c r="H40" s="434"/>
      <c r="I40" s="434"/>
      <c r="J40" s="435"/>
    </row>
  </sheetData>
  <sheetProtection password="F7AF" sheet="1" objects="1" scenarios="1"/>
  <mergeCells count="51">
    <mergeCell ref="A40:J40"/>
    <mergeCell ref="C35:D35"/>
    <mergeCell ref="E35:F35"/>
    <mergeCell ref="G35:I35"/>
    <mergeCell ref="A36:A37"/>
    <mergeCell ref="B36:D36"/>
    <mergeCell ref="E36:F36"/>
    <mergeCell ref="G36:I36"/>
    <mergeCell ref="G37:I37"/>
    <mergeCell ref="E37:F37"/>
    <mergeCell ref="A39:J39"/>
    <mergeCell ref="A33:A34"/>
    <mergeCell ref="B33:B34"/>
    <mergeCell ref="C33:D33"/>
    <mergeCell ref="E33:F34"/>
    <mergeCell ref="B37:D37"/>
    <mergeCell ref="J31:J32"/>
    <mergeCell ref="G33:I34"/>
    <mergeCell ref="J33:J34"/>
    <mergeCell ref="B38:I38"/>
    <mergeCell ref="G30:I30"/>
    <mergeCell ref="A31:A32"/>
    <mergeCell ref="B31:B32"/>
    <mergeCell ref="C31:D32"/>
    <mergeCell ref="E31:F31"/>
    <mergeCell ref="G31:I31"/>
    <mergeCell ref="C30:D30"/>
    <mergeCell ref="E30:F30"/>
    <mergeCell ref="C28:D28"/>
    <mergeCell ref="E28:F28"/>
    <mergeCell ref="G28:I28"/>
    <mergeCell ref="C29:D29"/>
    <mergeCell ref="E29:F29"/>
    <mergeCell ref="G29:I29"/>
    <mergeCell ref="A23:A24"/>
    <mergeCell ref="C23:D24"/>
    <mergeCell ref="E23:F23"/>
    <mergeCell ref="G23:I24"/>
    <mergeCell ref="J23:J24"/>
    <mergeCell ref="A25:A26"/>
    <mergeCell ref="B25:B26"/>
    <mergeCell ref="C25:D26"/>
    <mergeCell ref="E25:F26"/>
    <mergeCell ref="G25:I25"/>
    <mergeCell ref="E24:F24"/>
    <mergeCell ref="C27:D27"/>
    <mergeCell ref="E27:F27"/>
    <mergeCell ref="G27:I27"/>
    <mergeCell ref="B9:J9"/>
    <mergeCell ref="B10:J10"/>
    <mergeCell ref="J25:J26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10 KM</dc:title>
  <dc:subject>Logiciel Zatopek.be</dc:subject>
  <dc:creator>Roger IGO</dc:creator>
  <cp:keywords/>
  <dc:description/>
  <cp:lastModifiedBy>Emil Zatopek</cp:lastModifiedBy>
  <cp:lastPrinted>2015-03-09T12:42:40Z</cp:lastPrinted>
  <dcterms:created xsi:type="dcterms:W3CDTF">2002-01-09T20:52:19Z</dcterms:created>
  <dcterms:modified xsi:type="dcterms:W3CDTF">2015-06-04T13:26:55Z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